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8130324-EB95-44C0-98F1-881E3FD86098}" xr6:coauthVersionLast="47" xr6:coauthVersionMax="47" xr10:uidLastSave="{00000000-0000-0000-0000-000000000000}"/>
  <bookViews>
    <workbookView xWindow="-120" yWindow="-120" windowWidth="24240" windowHeight="13140" activeTab="1" xr2:uid="{92AD97A9-5990-4518-90ED-D6CBF74396B4}"/>
  </bookViews>
  <sheets>
    <sheet name="Дані" sheetId="2" r:id="rId1"/>
    <sheet name="АН 8194 КІ" sheetId="1" r:id="rId2"/>
    <sheet name="АН9552КР (відкачка)" sheetId="4" r:id="rId3"/>
    <sheet name="АН9552КР (промивка)" sheetId="8" r:id="rId4"/>
    <sheet name="МТЗ-82.1" sheetId="5" r:id="rId5"/>
    <sheet name="МТЗ-80.1" sheetId="9" r:id="rId6"/>
    <sheet name="ДТ-130" sheetId="6" r:id="rId7"/>
    <sheet name="Аркуш1" sheetId="10" state="hidden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21" i="8"/>
  <c r="H17" i="8"/>
  <c r="H17" i="4"/>
  <c r="H41" i="10"/>
  <c r="G37" i="10"/>
  <c r="E34" i="10"/>
  <c r="I33" i="10"/>
  <c r="D33" i="10"/>
  <c r="J33" i="10" s="1"/>
  <c r="D30" i="10"/>
  <c r="B30" i="10"/>
  <c r="J29" i="10" s="1"/>
  <c r="H23" i="10"/>
  <c r="H22" i="10"/>
  <c r="H20" i="10"/>
  <c r="H15" i="10" s="1"/>
  <c r="H16" i="10"/>
  <c r="J12" i="10"/>
  <c r="G40" i="5"/>
  <c r="G40" i="9"/>
  <c r="G20" i="2"/>
  <c r="G19" i="2"/>
  <c r="H17" i="1"/>
  <c r="H21" i="1"/>
  <c r="G17" i="2"/>
  <c r="E17" i="2"/>
  <c r="H41" i="9"/>
  <c r="G37" i="9"/>
  <c r="E34" i="9"/>
  <c r="J33" i="9"/>
  <c r="I33" i="9"/>
  <c r="D33" i="9"/>
  <c r="D30" i="9"/>
  <c r="B30" i="9"/>
  <c r="I29" i="9" s="1"/>
  <c r="I28" i="9" s="1"/>
  <c r="I35" i="9" s="1"/>
  <c r="I42" i="9" s="1"/>
  <c r="I44" i="9" s="1"/>
  <c r="I45" i="9" s="1"/>
  <c r="I46" i="9" s="1"/>
  <c r="J29" i="9"/>
  <c r="J28" i="9" s="1"/>
  <c r="J35" i="9" s="1"/>
  <c r="J42" i="9" s="1"/>
  <c r="J43" i="9" s="1"/>
  <c r="J44" i="9" s="1"/>
  <c r="J45" i="9" s="1"/>
  <c r="J46" i="9" s="1"/>
  <c r="H23" i="9"/>
  <c r="H22" i="9"/>
  <c r="H20" i="9" s="1"/>
  <c r="H17" i="9"/>
  <c r="J13" i="9"/>
  <c r="J12" i="9"/>
  <c r="J12" i="1"/>
  <c r="J28" i="10" l="1"/>
  <c r="J35" i="10" s="1"/>
  <c r="J42" i="10" s="1"/>
  <c r="J43" i="10" s="1"/>
  <c r="J44" i="10" s="1"/>
  <c r="J45" i="10" s="1"/>
  <c r="J46" i="10" s="1"/>
  <c r="H25" i="10"/>
  <c r="H24" i="10"/>
  <c r="H26" i="10"/>
  <c r="H35" i="10" s="1"/>
  <c r="H37" i="10" s="1"/>
  <c r="H36" i="10" s="1"/>
  <c r="H42" i="10" s="1"/>
  <c r="H43" i="10" s="1"/>
  <c r="H44" i="10" s="1"/>
  <c r="H45" i="10" s="1"/>
  <c r="H46" i="10" s="1"/>
  <c r="H47" i="10" s="1"/>
  <c r="I29" i="10"/>
  <c r="I28" i="10" s="1"/>
  <c r="I35" i="10" s="1"/>
  <c r="I42" i="10" s="1"/>
  <c r="I44" i="10" s="1"/>
  <c r="I45" i="10" s="1"/>
  <c r="I46" i="10" s="1"/>
  <c r="H19" i="9"/>
  <c r="H18" i="9"/>
  <c r="H40" i="8"/>
  <c r="G39" i="8"/>
  <c r="G37" i="8"/>
  <c r="G36" i="8" s="1"/>
  <c r="D33" i="8"/>
  <c r="B33" i="8"/>
  <c r="D30" i="8"/>
  <c r="B30" i="8"/>
  <c r="H23" i="8"/>
  <c r="H22" i="8"/>
  <c r="H20" i="8" s="1"/>
  <c r="H19" i="8"/>
  <c r="H16" i="8" s="1"/>
  <c r="H18" i="8"/>
  <c r="J13" i="8"/>
  <c r="J12" i="8"/>
  <c r="H15" i="8" l="1"/>
  <c r="H16" i="9"/>
  <c r="H15" i="9" s="1"/>
  <c r="H25" i="9" s="1"/>
  <c r="J33" i="8"/>
  <c r="I33" i="8"/>
  <c r="I28" i="8" s="1"/>
  <c r="I35" i="8" s="1"/>
  <c r="I41" i="8" s="1"/>
  <c r="I42" i="8" s="1"/>
  <c r="I43" i="8" s="1"/>
  <c r="I44" i="8" s="1"/>
  <c r="I45" i="8" s="1"/>
  <c r="J29" i="8"/>
  <c r="I29" i="8"/>
  <c r="H24" i="8"/>
  <c r="H25" i="8"/>
  <c r="H26" i="8" l="1"/>
  <c r="H35" i="8" s="1"/>
  <c r="H24" i="9"/>
  <c r="H26" i="9" s="1"/>
  <c r="H35" i="9" s="1"/>
  <c r="H37" i="9" s="1"/>
  <c r="J28" i="8"/>
  <c r="J35" i="8" s="1"/>
  <c r="J41" i="8" s="1"/>
  <c r="J42" i="8" s="1"/>
  <c r="J43" i="8" s="1"/>
  <c r="J44" i="8" s="1"/>
  <c r="J45" i="8" s="1"/>
  <c r="J46" i="8" s="1"/>
  <c r="H38" i="8"/>
  <c r="H39" i="8"/>
  <c r="H37" i="8"/>
  <c r="H36" i="8" l="1"/>
  <c r="H40" i="9"/>
  <c r="H36" i="9" s="1"/>
  <c r="H42" i="9" s="1"/>
  <c r="H43" i="9" s="1"/>
  <c r="H44" i="9" s="1"/>
  <c r="H45" i="9" s="1"/>
  <c r="H46" i="9" s="1"/>
  <c r="H47" i="9" s="1"/>
  <c r="H41" i="8"/>
  <c r="H42" i="8" s="1"/>
  <c r="H43" i="8" s="1"/>
  <c r="H44" i="8" s="1"/>
  <c r="H45" i="8" s="1"/>
  <c r="H46" i="8" s="1"/>
  <c r="H40" i="4" l="1"/>
  <c r="G39" i="4"/>
  <c r="G37" i="4"/>
  <c r="G36" i="4" s="1"/>
  <c r="D33" i="4"/>
  <c r="B33" i="4"/>
  <c r="D30" i="4"/>
  <c r="B30" i="4"/>
  <c r="J29" i="4" s="1"/>
  <c r="H23" i="4"/>
  <c r="H22" i="4"/>
  <c r="H19" i="4"/>
  <c r="H16" i="4" s="1"/>
  <c r="H18" i="4"/>
  <c r="J13" i="4"/>
  <c r="J12" i="4"/>
  <c r="H17" i="5"/>
  <c r="H19" i="5" s="1"/>
  <c r="E34" i="5"/>
  <c r="H41" i="5"/>
  <c r="G37" i="5"/>
  <c r="I33" i="5"/>
  <c r="J33" i="5"/>
  <c r="D33" i="5"/>
  <c r="D30" i="5"/>
  <c r="B30" i="5"/>
  <c r="J29" i="5" s="1"/>
  <c r="H23" i="5"/>
  <c r="H20" i="5" s="1"/>
  <c r="H22" i="5"/>
  <c r="J13" i="5"/>
  <c r="J12" i="5"/>
  <c r="G37" i="6"/>
  <c r="E34" i="6"/>
  <c r="H41" i="6"/>
  <c r="D33" i="6"/>
  <c r="J33" i="6" s="1"/>
  <c r="D30" i="6"/>
  <c r="B30" i="6"/>
  <c r="J29" i="6" s="1"/>
  <c r="H23" i="6"/>
  <c r="H22" i="6"/>
  <c r="J12" i="6"/>
  <c r="H40" i="1"/>
  <c r="G37" i="1"/>
  <c r="D33" i="1"/>
  <c r="D30" i="1"/>
  <c r="F9" i="2"/>
  <c r="F8" i="2"/>
  <c r="E9" i="2"/>
  <c r="E8" i="2"/>
  <c r="J13" i="1"/>
  <c r="B33" i="1"/>
  <c r="B30" i="1"/>
  <c r="J29" i="1" s="1"/>
  <c r="H23" i="1"/>
  <c r="H22" i="1"/>
  <c r="H19" i="1"/>
  <c r="H18" i="1"/>
  <c r="H20" i="4" l="1"/>
  <c r="H18" i="5"/>
  <c r="H16" i="5" s="1"/>
  <c r="H15" i="5" s="1"/>
  <c r="H16" i="6"/>
  <c r="I33" i="1"/>
  <c r="J33" i="1"/>
  <c r="J33" i="4"/>
  <c r="J28" i="4" s="1"/>
  <c r="J35" i="4" s="1"/>
  <c r="J41" i="4" s="1"/>
  <c r="J42" i="4" s="1"/>
  <c r="J43" i="4" s="1"/>
  <c r="J44" i="4" s="1"/>
  <c r="J45" i="4" s="1"/>
  <c r="J46" i="4" s="1"/>
  <c r="I33" i="4"/>
  <c r="H15" i="4"/>
  <c r="H24" i="4" s="1"/>
  <c r="I29" i="4"/>
  <c r="J28" i="5"/>
  <c r="J35" i="5" s="1"/>
  <c r="J42" i="5" s="1"/>
  <c r="J43" i="5" s="1"/>
  <c r="J44" i="5" s="1"/>
  <c r="J45" i="5" s="1"/>
  <c r="J46" i="5" s="1"/>
  <c r="I29" i="5"/>
  <c r="I28" i="5" s="1"/>
  <c r="I35" i="5" s="1"/>
  <c r="I42" i="5" s="1"/>
  <c r="I44" i="5" s="1"/>
  <c r="I45" i="5" s="1"/>
  <c r="I46" i="5" s="1"/>
  <c r="I29" i="6"/>
  <c r="J28" i="6"/>
  <c r="J35" i="6" s="1"/>
  <c r="J42" i="6" s="1"/>
  <c r="J43" i="6" s="1"/>
  <c r="J44" i="6" s="1"/>
  <c r="J45" i="6" s="1"/>
  <c r="J46" i="6" s="1"/>
  <c r="I33" i="6"/>
  <c r="H20" i="6"/>
  <c r="I29" i="1"/>
  <c r="I28" i="1" s="1"/>
  <c r="I35" i="1" s="1"/>
  <c r="I41" i="1" s="1"/>
  <c r="H20" i="1"/>
  <c r="G36" i="1"/>
  <c r="H16" i="1"/>
  <c r="J28" i="1"/>
  <c r="J35" i="1" s="1"/>
  <c r="J41" i="1" s="1"/>
  <c r="H25" i="5" l="1"/>
  <c r="H24" i="5"/>
  <c r="H26" i="5" s="1"/>
  <c r="H35" i="5" s="1"/>
  <c r="H15" i="6"/>
  <c r="H24" i="6" s="1"/>
  <c r="I28" i="4"/>
  <c r="I35" i="4" s="1"/>
  <c r="I41" i="4" s="1"/>
  <c r="I42" i="4" s="1"/>
  <c r="I43" i="4" s="1"/>
  <c r="I44" i="4" s="1"/>
  <c r="I45" i="4" s="1"/>
  <c r="H25" i="4"/>
  <c r="H26" i="4" s="1"/>
  <c r="H35" i="4" s="1"/>
  <c r="H39" i="4" s="1"/>
  <c r="J42" i="1"/>
  <c r="J43" i="1" s="1"/>
  <c r="J44" i="1" s="1"/>
  <c r="J45" i="1" s="1"/>
  <c r="J46" i="1" s="1"/>
  <c r="H37" i="4"/>
  <c r="H38" i="4"/>
  <c r="I28" i="6"/>
  <c r="I35" i="6" s="1"/>
  <c r="I42" i="6" s="1"/>
  <c r="I44" i="6" s="1"/>
  <c r="I45" i="6" s="1"/>
  <c r="I46" i="6" s="1"/>
  <c r="I42" i="1"/>
  <c r="I43" i="1" s="1"/>
  <c r="I44" i="1" s="1"/>
  <c r="I45" i="1" s="1"/>
  <c r="H15" i="1"/>
  <c r="H25" i="1" s="1"/>
  <c r="H25" i="6" l="1"/>
  <c r="H26" i="6" s="1"/>
  <c r="H35" i="6" s="1"/>
  <c r="H37" i="6" s="1"/>
  <c r="H36" i="6" s="1"/>
  <c r="H42" i="6" s="1"/>
  <c r="H43" i="6" s="1"/>
  <c r="H44" i="6" s="1"/>
  <c r="H45" i="6" s="1"/>
  <c r="H46" i="6" s="1"/>
  <c r="H47" i="6" s="1"/>
  <c r="H40" i="5"/>
  <c r="H36" i="5" s="1"/>
  <c r="H42" i="5" s="1"/>
  <c r="H43" i="5" s="1"/>
  <c r="H44" i="5" s="1"/>
  <c r="H45" i="5" s="1"/>
  <c r="H46" i="5" s="1"/>
  <c r="H47" i="5" s="1"/>
  <c r="H37" i="5"/>
  <c r="H36" i="4"/>
  <c r="H41" i="4" s="1"/>
  <c r="H42" i="4" s="1"/>
  <c r="H43" i="4" s="1"/>
  <c r="H44" i="4" s="1"/>
  <c r="H45" i="4" s="1"/>
  <c r="H46" i="4" s="1"/>
  <c r="H24" i="1"/>
  <c r="H26" i="1" s="1"/>
  <c r="H35" i="1" s="1"/>
  <c r="H38" i="1" l="1"/>
  <c r="H37" i="1"/>
  <c r="H39" i="1"/>
  <c r="H36" i="1" l="1"/>
  <c r="H41" i="1" s="1"/>
  <c r="H42" i="1" s="1"/>
  <c r="H43" i="1" s="1"/>
  <c r="H44" i="1" s="1"/>
  <c r="H45" i="1" s="1"/>
  <c r="H46" i="1" s="1"/>
</calcChain>
</file>

<file path=xl/sharedStrings.xml><?xml version="1.0" encoding="utf-8"?>
<sst xmlns="http://schemas.openxmlformats.org/spreadsheetml/2006/main" count="525" uniqueCount="107">
  <si>
    <t>ЗАТВЕРДЖЕНО</t>
  </si>
  <si>
    <t>Калькуляція</t>
  </si>
  <si>
    <t xml:space="preserve">           (для бюджетних установ, організацій, комунальних підприємств)</t>
  </si>
  <si>
    <t>Найменування витрат</t>
  </si>
  <si>
    <t>Відсот. ставка</t>
  </si>
  <si>
    <t>Наповнення 1 цистерни</t>
  </si>
  <si>
    <t>км.</t>
  </si>
  <si>
    <t>Прямі витрати на оплату праці</t>
  </si>
  <si>
    <t>1.</t>
  </si>
  <si>
    <t>Заробітна плата водія</t>
  </si>
  <si>
    <t>1.1.</t>
  </si>
  <si>
    <t>1.2.</t>
  </si>
  <si>
    <t>1.3.</t>
  </si>
  <si>
    <t>2.</t>
  </si>
  <si>
    <t>Заробітна плата слюсаря АВР IV р відрядна  тарифна ставка</t>
  </si>
  <si>
    <t>2.1.</t>
  </si>
  <si>
    <t>2.2.</t>
  </si>
  <si>
    <t>2.3.</t>
  </si>
  <si>
    <t>Всього витрати на оплату праці:</t>
  </si>
  <si>
    <t>3.</t>
  </si>
  <si>
    <t>Витрати на заміну зношених частин транспорту</t>
  </si>
  <si>
    <t>4.</t>
  </si>
  <si>
    <t>Витрати ПММ:</t>
  </si>
  <si>
    <t>4.1.</t>
  </si>
  <si>
    <t>грн./л</t>
  </si>
  <si>
    <t xml:space="preserve">    л/100км   </t>
  </si>
  <si>
    <t>л/км</t>
  </si>
  <si>
    <t>4.2.</t>
  </si>
  <si>
    <t xml:space="preserve">Витрати на мастильні матеріали </t>
  </si>
  <si>
    <t>ВСЬОГО ВИТРАТИ:</t>
  </si>
  <si>
    <t>6.</t>
  </si>
  <si>
    <t>Накладні витрати в тч:</t>
  </si>
  <si>
    <t>6.1.</t>
  </si>
  <si>
    <t>Загальновиробничі витрати</t>
  </si>
  <si>
    <t>6.2.</t>
  </si>
  <si>
    <t>Адміністративні витрати</t>
  </si>
  <si>
    <t>Рентабельність</t>
  </si>
  <si>
    <t>Всього з рентабельністю :</t>
  </si>
  <si>
    <t>Податок на додану вартість</t>
  </si>
  <si>
    <t>Економіст</t>
  </si>
  <si>
    <t>_________________</t>
  </si>
  <si>
    <t>"____"___________ 2025 р.</t>
  </si>
  <si>
    <t>/________________/</t>
  </si>
  <si>
    <t>Смолінської селишної ради</t>
  </si>
  <si>
    <t>__________Дмитро ДЬОМІН</t>
  </si>
  <si>
    <t>Директор КП"Смолінський Благоустрій"</t>
  </si>
  <si>
    <t>Робота водія (год)</t>
  </si>
  <si>
    <t>Мінімальна зарплата</t>
  </si>
  <si>
    <t>Тарифні ставки</t>
  </si>
  <si>
    <t>Паливо ДП, з ПДВ</t>
  </si>
  <si>
    <t>Олива, з ПДВ</t>
  </si>
  <si>
    <t>грн/л</t>
  </si>
  <si>
    <t>Механік</t>
  </si>
  <si>
    <t>Водій 1 кл</t>
  </si>
  <si>
    <t>Тракторист</t>
  </si>
  <si>
    <t>місяць</t>
  </si>
  <si>
    <t>год</t>
  </si>
  <si>
    <t>Водій 1 кл (самоскид)</t>
  </si>
  <si>
    <t>Паливо ДП,з ПДВ, грн/л</t>
  </si>
  <si>
    <t>Олива, з ПДВ, грн/л</t>
  </si>
  <si>
    <t>ЕСВ</t>
  </si>
  <si>
    <t>Військовий збір</t>
  </si>
  <si>
    <t>міс.</t>
  </si>
  <si>
    <t>год.</t>
  </si>
  <si>
    <t>Всього собівартість :</t>
  </si>
  <si>
    <t>№ з/п</t>
  </si>
  <si>
    <t>Нарахування на з/п: ЄСВ</t>
  </si>
  <si>
    <t>Нарахування на з/п: Військовий збір</t>
  </si>
  <si>
    <t xml:space="preserve"> - відрядна  тарифна ставка</t>
  </si>
  <si>
    <t xml:space="preserve"> - премія</t>
  </si>
  <si>
    <t xml:space="preserve"> - шкідливі умови праці</t>
  </si>
  <si>
    <t xml:space="preserve"> - погодинна тарифна ставка</t>
  </si>
  <si>
    <t>Витрати на ремонти і відновлення (зам.аморт)</t>
  </si>
  <si>
    <t>Витрати на пальне: ДП</t>
  </si>
  <si>
    <t>6.3.</t>
  </si>
  <si>
    <t>Витрати на ТО</t>
  </si>
  <si>
    <t>Асенізаційна цистерна АТ ВО-0101 МАЗ 4371N2 /АН 8194 КІ/</t>
  </si>
  <si>
    <t>Машина комбінована асенизаційна КО-503 ІВК-16 на шасі МАЗ-6312С2 /АН 9552 КР/</t>
  </si>
  <si>
    <t xml:space="preserve">           (для бюджетних установ, організацій, комунальних підприємств, населення)</t>
  </si>
  <si>
    <t>вартість експлуатації</t>
  </si>
  <si>
    <r>
      <rPr>
        <b/>
        <sz val="12"/>
        <color theme="1"/>
        <rFont val="Arial"/>
        <family val="2"/>
        <charset val="204"/>
      </rPr>
      <t>Витрати на збут</t>
    </r>
    <r>
      <rPr>
        <sz val="12"/>
        <color theme="1"/>
        <rFont val="Arial"/>
        <family val="2"/>
        <charset val="204"/>
      </rPr>
      <t xml:space="preserve"> </t>
    </r>
  </si>
  <si>
    <t>Витрати на ТО і ПР</t>
  </si>
  <si>
    <t>6.4.</t>
  </si>
  <si>
    <t>Амортизація</t>
  </si>
  <si>
    <t>Заробітна плата тракториста</t>
  </si>
  <si>
    <t>норма пального 12,5 л/год;</t>
  </si>
  <si>
    <r>
      <t xml:space="preserve">Разом з ПДВ </t>
    </r>
    <r>
      <rPr>
        <sz val="12"/>
        <color theme="1"/>
        <rFont val="Arial"/>
        <family val="2"/>
        <charset val="204"/>
      </rPr>
      <t>(округл)</t>
    </r>
  </si>
  <si>
    <t>трактора колісного МТЗ 82.1</t>
  </si>
  <si>
    <t>Заробітна плата слюсаря відрядна</t>
  </si>
  <si>
    <t>норма пального 8 л/год;</t>
  </si>
  <si>
    <t>норма витрат 0,5% ДТ л/год;</t>
  </si>
  <si>
    <t>л\год</t>
  </si>
  <si>
    <t>норма пального 21 л/100 км;
відкачка робота мулососа - 3 л ДП на 1 цистерну 7,2м³;</t>
  </si>
  <si>
    <t>норма пального 35,0 л/100 км;
відкачка робота мулососа - 12 л ДП на 1 цистерну 8,82м³;</t>
  </si>
  <si>
    <t>на послуги для очищення трубопроводів (відкачка)</t>
  </si>
  <si>
    <t>на послуги для очищення трубопроводів (промивання)</t>
  </si>
  <si>
    <t>норма пального 35,0 л/100 км;
відкачка робота мулососа - 5 л ДП на 1 цистерну 8,82м³;</t>
  </si>
  <si>
    <r>
      <rPr>
        <b/>
        <sz val="12"/>
        <color theme="1"/>
        <rFont val="Arial"/>
        <family val="2"/>
        <charset val="204"/>
      </rPr>
      <t>Витрати на збут</t>
    </r>
    <r>
      <rPr>
        <sz val="12"/>
        <color theme="1"/>
        <rFont val="Arial"/>
        <family val="2"/>
        <charset val="204"/>
      </rPr>
      <t xml:space="preserve"> (вода,приймання стоків, м</t>
    </r>
    <r>
      <rPr>
        <vertAlign val="super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>)</t>
    </r>
  </si>
  <si>
    <t>трактора колісного МТЗ 80.1</t>
  </si>
  <si>
    <t xml:space="preserve"> - відрядна тарифна ставка</t>
  </si>
  <si>
    <t>Слюсар АВР</t>
  </si>
  <si>
    <t>Водій 1 кл (бочка)</t>
  </si>
  <si>
    <t>на послуги відкачування стоків</t>
  </si>
  <si>
    <t>бульдозера Т130 МІГ-1</t>
  </si>
  <si>
    <t>л/ч</t>
  </si>
  <si>
    <t>норма витрат 1,5% ДТ л/год;+ бенз.1,5</t>
  </si>
  <si>
    <t>Заробітна плата механізатора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</si>
</sst>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₴&quot;_-;\-* #,##0.00\ &quot;₴&quot;_-;_-* &quot;-&quot;??\ &quot;₴&quot;_-;_-@_-"/>
    <numFmt numFmtId="164" formatCode="0.0"/>
    <numFmt numFmtId="165" formatCode="0.000"/>
    <numFmt numFmtId="166" formatCode="_-* #,##0.00\ [$₴-422]_-;\-* #,##0.00\ [$₴-422]_-;_-* &quot;-&quot;??\ [$₴-422]_-;_-@_-"/>
    <numFmt numFmtId="167" formatCode="_-* #,##0.00\ _₴_-;\-* #,##0.00\ _₴_-;_-* &quot;-&quot;??\ _₴_-;_-@_-"/>
    <numFmt numFmtId="168" formatCode="#,##0\ _₴"/>
  </numFmts>
  <fonts count="1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u/>
      <sz val="14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ptos Narrow"/>
      <family val="2"/>
      <scheme val="minor"/>
    </font>
    <font>
      <vertAlign val="superscript"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4" fillId="0" borderId="15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" fontId="4" fillId="0" borderId="12" xfId="1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16" fontId="4" fillId="0" borderId="13" xfId="1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16" fontId="4" fillId="0" borderId="8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15" xfId="0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8" xfId="0" applyFont="1" applyBorder="1"/>
    <xf numFmtId="0" fontId="14" fillId="0" borderId="0" xfId="0" applyFont="1"/>
    <xf numFmtId="16" fontId="4" fillId="0" borderId="1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16" fontId="10" fillId="0" borderId="8" xfId="0" applyNumberFormat="1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/>
    <xf numFmtId="166" fontId="3" fillId="0" borderId="0" xfId="0" applyNumberFormat="1" applyFont="1"/>
    <xf numFmtId="166" fontId="3" fillId="0" borderId="0" xfId="0" applyNumberFormat="1" applyFont="1" applyBorder="1"/>
    <xf numFmtId="166" fontId="3" fillId="0" borderId="6" xfId="0" applyNumberFormat="1" applyFont="1" applyBorder="1"/>
    <xf numFmtId="166" fontId="3" fillId="0" borderId="19" xfId="0" applyNumberFormat="1" applyFont="1" applyBorder="1"/>
    <xf numFmtId="0" fontId="3" fillId="0" borderId="19" xfId="0" applyFont="1" applyBorder="1"/>
    <xf numFmtId="166" fontId="3" fillId="0" borderId="21" xfId="0" applyNumberFormat="1" applyFont="1" applyBorder="1"/>
    <xf numFmtId="0" fontId="3" fillId="0" borderId="20" xfId="0" applyNumberFormat="1" applyFont="1" applyBorder="1" applyAlignment="1">
      <alignment horizontal="center"/>
    </xf>
    <xf numFmtId="44" fontId="3" fillId="0" borderId="0" xfId="1" applyFont="1"/>
    <xf numFmtId="44" fontId="17" fillId="0" borderId="4" xfId="1" applyFont="1" applyBorder="1"/>
    <xf numFmtId="0" fontId="17" fillId="0" borderId="4" xfId="0" applyFont="1" applyBorder="1"/>
    <xf numFmtId="44" fontId="17" fillId="0" borderId="7" xfId="1" applyFont="1" applyBorder="1"/>
    <xf numFmtId="44" fontId="3" fillId="0" borderId="19" xfId="1" applyFont="1" applyBorder="1"/>
    <xf numFmtId="2" fontId="13" fillId="0" borderId="11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4" fontId="12" fillId="0" borderId="4" xfId="0" applyNumberFormat="1" applyFont="1" applyBorder="1"/>
    <xf numFmtId="44" fontId="12" fillId="0" borderId="7" xfId="0" applyNumberFormat="1" applyFont="1" applyBorder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166" fontId="3" fillId="0" borderId="18" xfId="0" applyNumberFormat="1" applyFont="1" applyBorder="1"/>
    <xf numFmtId="166" fontId="3" fillId="0" borderId="22" xfId="0" applyNumberFormat="1" applyFont="1" applyBorder="1"/>
    <xf numFmtId="9" fontId="3" fillId="0" borderId="6" xfId="0" applyNumberFormat="1" applyFont="1" applyBorder="1" applyAlignment="1"/>
    <xf numFmtId="9" fontId="3" fillId="0" borderId="19" xfId="0" applyNumberFormat="1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3" xfId="0" applyFont="1" applyBorder="1"/>
    <xf numFmtId="9" fontId="5" fillId="2" borderId="8" xfId="0" applyNumberFormat="1" applyFont="1" applyFill="1" applyBorder="1" applyAlignment="1">
      <alignment horizontal="center" vertical="center"/>
    </xf>
    <xf numFmtId="167" fontId="10" fillId="0" borderId="13" xfId="0" applyNumberFormat="1" applyFont="1" applyBorder="1" applyAlignment="1">
      <alignment horizontal="right" vertical="center"/>
    </xf>
    <xf numFmtId="167" fontId="10" fillId="0" borderId="8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167" fontId="4" fillId="0" borderId="17" xfId="0" applyNumberFormat="1" applyFont="1" applyBorder="1" applyAlignment="1">
      <alignment horizontal="right" vertical="center"/>
    </xf>
    <xf numFmtId="167" fontId="10" fillId="0" borderId="8" xfId="0" applyNumberFormat="1" applyFont="1" applyBorder="1" applyAlignment="1">
      <alignment horizontal="right" vertical="center"/>
    </xf>
    <xf numFmtId="167" fontId="14" fillId="0" borderId="8" xfId="0" applyNumberFormat="1" applyFont="1" applyBorder="1" applyAlignment="1">
      <alignment horizontal="center" vertical="center"/>
    </xf>
    <xf numFmtId="167" fontId="4" fillId="2" borderId="8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/>
    </xf>
    <xf numFmtId="167" fontId="4" fillId="0" borderId="8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10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right" vertical="center"/>
    </xf>
    <xf numFmtId="167" fontId="10" fillId="0" borderId="11" xfId="0" applyNumberFormat="1" applyFont="1" applyBorder="1" applyAlignment="1">
      <alignment horizontal="right" vertical="center"/>
    </xf>
    <xf numFmtId="167" fontId="10" fillId="0" borderId="11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 vertical="top"/>
    </xf>
    <xf numFmtId="167" fontId="4" fillId="0" borderId="8" xfId="0" applyNumberFormat="1" applyFont="1" applyBorder="1" applyAlignment="1">
      <alignment horizontal="center" vertical="top"/>
    </xf>
    <xf numFmtId="167" fontId="4" fillId="0" borderId="16" xfId="0" applyNumberFormat="1" applyFont="1" applyBorder="1" applyAlignment="1">
      <alignment horizontal="right" vertical="center"/>
    </xf>
    <xf numFmtId="0" fontId="4" fillId="0" borderId="9" xfId="0" applyFont="1" applyBorder="1" applyAlignment="1"/>
    <xf numFmtId="0" fontId="4" fillId="0" borderId="10" xfId="0" applyFont="1" applyBorder="1" applyAlignment="1"/>
    <xf numFmtId="0" fontId="5" fillId="0" borderId="1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/>
    </xf>
    <xf numFmtId="0" fontId="4" fillId="0" borderId="6" xfId="0" applyFont="1" applyBorder="1"/>
    <xf numFmtId="0" fontId="13" fillId="0" borderId="8" xfId="0" applyFont="1" applyBorder="1" applyAlignment="1">
      <alignment horizontal="left"/>
    </xf>
    <xf numFmtId="2" fontId="13" fillId="0" borderId="8" xfId="0" applyNumberFormat="1" applyFont="1" applyBorder="1" applyAlignment="1">
      <alignment horizontal="left"/>
    </xf>
    <xf numFmtId="2" fontId="5" fillId="0" borderId="1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7" fontId="4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167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 vertical="center"/>
    </xf>
    <xf numFmtId="0" fontId="4" fillId="0" borderId="13" xfId="0" applyFont="1" applyBorder="1"/>
    <xf numFmtId="168" fontId="10" fillId="4" borderId="11" xfId="0" applyNumberFormat="1" applyFont="1" applyFill="1" applyBorder="1" applyAlignment="1"/>
    <xf numFmtId="167" fontId="5" fillId="0" borderId="0" xfId="0" applyNumberFormat="1" applyFont="1"/>
    <xf numFmtId="167" fontId="4" fillId="0" borderId="8" xfId="0" applyNumberFormat="1" applyFont="1" applyBorder="1" applyAlignment="1">
      <alignment horizontal="center" vertical="center"/>
    </xf>
    <xf numFmtId="166" fontId="3" fillId="5" borderId="1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167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 vertical="center"/>
    </xf>
    <xf numFmtId="0" fontId="4" fillId="0" borderId="13" xfId="0" applyFont="1" applyBorder="1"/>
    <xf numFmtId="0" fontId="10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" fontId="4" fillId="0" borderId="13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167" fontId="4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12" xfId="0" applyFont="1" applyBorder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1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4" fillId="0" borderId="8" xfId="0" applyFont="1" applyBorder="1" applyAlignment="1">
      <alignment vertical="top"/>
    </xf>
    <xf numFmtId="168" fontId="10" fillId="4" borderId="10" xfId="0" applyNumberFormat="1" applyFont="1" applyFill="1" applyBorder="1" applyAlignment="1">
      <alignment horizontal="center"/>
    </xf>
    <xf numFmtId="168" fontId="10" fillId="4" borderId="11" xfId="0" applyNumberFormat="1" applyFont="1" applyFill="1" applyBorder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3BE1-16A4-4B58-850C-2EC6DA024983}">
  <dimension ref="B5:M20"/>
  <sheetViews>
    <sheetView topLeftCell="A2" zoomScale="150" zoomScaleNormal="150" workbookViewId="0">
      <selection activeCell="G14" sqref="G14"/>
    </sheetView>
  </sheetViews>
  <sheetFormatPr defaultRowHeight="13.5" x14ac:dyDescent="0.25"/>
  <cols>
    <col min="1" max="4" width="9.140625" style="55"/>
    <col min="5" max="5" width="11.140625" style="56" bestFit="1" customWidth="1"/>
    <col min="6" max="6" width="11.140625" style="56" customWidth="1"/>
    <col min="7" max="7" width="11.140625" style="55" bestFit="1" customWidth="1"/>
    <col min="8" max="9" width="9.140625" style="55"/>
    <col min="10" max="10" width="12.5703125" style="55" customWidth="1"/>
    <col min="11" max="11" width="13.5703125" style="55" customWidth="1"/>
    <col min="12" max="12" width="10.42578125" style="63" bestFit="1" customWidth="1"/>
    <col min="13" max="16384" width="9.140625" style="55"/>
  </cols>
  <sheetData>
    <row r="5" spans="2:13" x14ac:dyDescent="0.25">
      <c r="E5" s="143">
        <v>2025</v>
      </c>
      <c r="F5" s="143"/>
      <c r="G5" s="143">
        <v>2026</v>
      </c>
      <c r="H5" s="143"/>
    </row>
    <row r="6" spans="2:13" x14ac:dyDescent="0.25">
      <c r="B6" s="137"/>
      <c r="C6" s="137"/>
      <c r="D6" s="137"/>
      <c r="E6" s="62" t="s">
        <v>62</v>
      </c>
      <c r="F6" s="62" t="s">
        <v>63</v>
      </c>
      <c r="G6" s="62" t="s">
        <v>62</v>
      </c>
      <c r="H6" s="62" t="s">
        <v>63</v>
      </c>
      <c r="I6" s="144" t="s">
        <v>49</v>
      </c>
      <c r="J6" s="145"/>
      <c r="K6" s="146"/>
      <c r="L6" s="64">
        <v>65</v>
      </c>
      <c r="M6" s="65" t="s">
        <v>51</v>
      </c>
    </row>
    <row r="7" spans="2:13" x14ac:dyDescent="0.25">
      <c r="B7" s="142" t="s">
        <v>47</v>
      </c>
      <c r="C7" s="142"/>
      <c r="D7" s="142"/>
      <c r="E7" s="57">
        <v>8000</v>
      </c>
      <c r="F7" s="77">
        <v>48</v>
      </c>
      <c r="G7" s="57">
        <v>8647</v>
      </c>
      <c r="H7" s="78">
        <v>52</v>
      </c>
      <c r="I7" s="147" t="s">
        <v>50</v>
      </c>
      <c r="J7" s="147"/>
      <c r="K7" s="148"/>
      <c r="L7" s="66">
        <v>108.5</v>
      </c>
      <c r="M7" s="65" t="s">
        <v>51</v>
      </c>
    </row>
    <row r="8" spans="2:13" x14ac:dyDescent="0.25">
      <c r="B8" s="140" t="s">
        <v>60</v>
      </c>
      <c r="C8" s="140"/>
      <c r="D8" s="80">
        <v>0.22</v>
      </c>
      <c r="E8" s="59">
        <f>E7*D8</f>
        <v>1760</v>
      </c>
      <c r="F8" s="59">
        <f>F7*D8</f>
        <v>10.56</v>
      </c>
      <c r="G8" s="59"/>
      <c r="H8" s="60"/>
    </row>
    <row r="9" spans="2:13" x14ac:dyDescent="0.25">
      <c r="B9" s="141" t="s">
        <v>61</v>
      </c>
      <c r="C9" s="141"/>
      <c r="D9" s="79">
        <v>0.05</v>
      </c>
      <c r="E9" s="58">
        <f>E7*D9</f>
        <v>400</v>
      </c>
      <c r="F9" s="58">
        <f>F7*D9</f>
        <v>2.4000000000000004</v>
      </c>
      <c r="G9" s="58"/>
      <c r="H9" s="58"/>
    </row>
    <row r="10" spans="2:13" x14ac:dyDescent="0.25">
      <c r="B10" s="139"/>
      <c r="C10" s="139"/>
      <c r="D10" s="139"/>
      <c r="E10" s="61"/>
      <c r="F10" s="61"/>
      <c r="G10" s="61"/>
      <c r="I10" s="144" t="s">
        <v>72</v>
      </c>
      <c r="J10" s="145"/>
      <c r="K10" s="146"/>
      <c r="L10" s="80">
        <v>0.05</v>
      </c>
    </row>
    <row r="11" spans="2:13" x14ac:dyDescent="0.25">
      <c r="B11" s="138" t="s">
        <v>48</v>
      </c>
      <c r="C11" s="138"/>
      <c r="D11" s="138"/>
      <c r="E11" s="130" t="s">
        <v>55</v>
      </c>
      <c r="F11" s="130"/>
      <c r="G11" s="130" t="s">
        <v>56</v>
      </c>
      <c r="I11" s="144" t="s">
        <v>33</v>
      </c>
      <c r="J11" s="145"/>
      <c r="K11" s="146"/>
      <c r="L11" s="80">
        <v>0.25</v>
      </c>
    </row>
    <row r="12" spans="2:13" x14ac:dyDescent="0.25">
      <c r="B12" s="140" t="s">
        <v>53</v>
      </c>
      <c r="C12" s="140"/>
      <c r="D12" s="140"/>
      <c r="E12" s="59">
        <v>15601.76</v>
      </c>
      <c r="F12" s="59"/>
      <c r="G12" s="67">
        <v>72.44</v>
      </c>
      <c r="I12" s="147" t="s">
        <v>35</v>
      </c>
      <c r="J12" s="147"/>
      <c r="K12" s="148"/>
      <c r="L12" s="80">
        <v>0.05</v>
      </c>
    </row>
    <row r="13" spans="2:13" x14ac:dyDescent="0.25">
      <c r="B13" s="140" t="s">
        <v>52</v>
      </c>
      <c r="C13" s="140"/>
      <c r="D13" s="140"/>
      <c r="E13" s="59">
        <v>12555.09</v>
      </c>
      <c r="F13" s="59"/>
      <c r="G13" s="67">
        <v>67.47</v>
      </c>
    </row>
    <row r="14" spans="2:13" x14ac:dyDescent="0.25">
      <c r="B14" s="140" t="s">
        <v>54</v>
      </c>
      <c r="C14" s="140"/>
      <c r="D14" s="140"/>
      <c r="E14" s="59">
        <v>15585</v>
      </c>
      <c r="F14" s="59"/>
      <c r="G14" s="67">
        <v>67.47</v>
      </c>
    </row>
    <row r="15" spans="2:13" x14ac:dyDescent="0.25">
      <c r="B15" s="140" t="s">
        <v>57</v>
      </c>
      <c r="C15" s="140"/>
      <c r="D15" s="140"/>
      <c r="E15" s="59"/>
      <c r="F15" s="59"/>
      <c r="G15" s="67">
        <v>67.38</v>
      </c>
    </row>
    <row r="16" spans="2:13" x14ac:dyDescent="0.25">
      <c r="B16" s="140" t="s">
        <v>101</v>
      </c>
      <c r="C16" s="140"/>
      <c r="D16" s="140"/>
      <c r="E16" s="59">
        <v>13300</v>
      </c>
      <c r="F16" s="59"/>
      <c r="G16" s="67">
        <v>83.2</v>
      </c>
    </row>
    <row r="17" spans="2:7" x14ac:dyDescent="0.25">
      <c r="B17" s="140" t="s">
        <v>100</v>
      </c>
      <c r="C17" s="140"/>
      <c r="D17" s="140"/>
      <c r="E17" s="59">
        <f>E16*0.85</f>
        <v>11305</v>
      </c>
      <c r="F17" s="59"/>
      <c r="G17" s="67">
        <f>G16*0.85</f>
        <v>70.72</v>
      </c>
    </row>
    <row r="19" spans="2:7" x14ac:dyDescent="0.25">
      <c r="G19" s="56">
        <f>E17/7</f>
        <v>1615</v>
      </c>
    </row>
    <row r="20" spans="2:7" x14ac:dyDescent="0.25">
      <c r="G20" s="56">
        <f>G19/22</f>
        <v>73.409090909090907</v>
      </c>
    </row>
  </sheetData>
  <mergeCells count="19">
    <mergeCell ref="G5:H5"/>
    <mergeCell ref="I11:K11"/>
    <mergeCell ref="I12:K12"/>
    <mergeCell ref="I10:K10"/>
    <mergeCell ref="I6:K6"/>
    <mergeCell ref="I7:K7"/>
    <mergeCell ref="B16:D16"/>
    <mergeCell ref="B17:D17"/>
    <mergeCell ref="B14:D14"/>
    <mergeCell ref="B15:D15"/>
    <mergeCell ref="E5:F5"/>
    <mergeCell ref="B6:D6"/>
    <mergeCell ref="B11:D11"/>
    <mergeCell ref="B10:D10"/>
    <mergeCell ref="B12:D12"/>
    <mergeCell ref="B13:D13"/>
    <mergeCell ref="B8:C8"/>
    <mergeCell ref="B9:C9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4CF9-B6A1-4F15-B5A9-E5F4923AD45B}">
  <sheetPr>
    <tabColor rgb="FF00B0F0"/>
    <pageSetUpPr fitToPage="1"/>
  </sheetPr>
  <dimension ref="A1:K51"/>
  <sheetViews>
    <sheetView tabSelected="1" workbookViewId="0">
      <selection activeCell="E1" sqref="E1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2.5703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102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76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78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6.5" customHeight="1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f>Дані!L7</f>
        <v>108.5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5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160.07679999999999</v>
      </c>
      <c r="I15" s="88"/>
      <c r="J15" s="89"/>
    </row>
    <row r="16" spans="1:11" ht="15" x14ac:dyDescent="0.2">
      <c r="A16" s="21" t="s">
        <v>8</v>
      </c>
      <c r="B16" s="154" t="s">
        <v>9</v>
      </c>
      <c r="C16" s="151"/>
      <c r="D16" s="151"/>
      <c r="E16" s="151"/>
      <c r="F16" s="151"/>
      <c r="G16" s="22"/>
      <c r="H16" s="90">
        <f>H17+H19+H18</f>
        <v>86.528000000000006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f>Дані!G16</f>
        <v>83.2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>
        <v>0.04</v>
      </c>
      <c r="H18" s="90">
        <f>H17*G18</f>
        <v>3.3280000000000003</v>
      </c>
      <c r="I18" s="9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f>H17*G19</f>
        <v>0</v>
      </c>
      <c r="I19" s="93"/>
      <c r="J19" s="89"/>
    </row>
    <row r="20" spans="1:11" ht="15" x14ac:dyDescent="0.2">
      <c r="A20" s="29" t="s">
        <v>13</v>
      </c>
      <c r="B20" s="174" t="s">
        <v>14</v>
      </c>
      <c r="C20" s="175"/>
      <c r="D20" s="175"/>
      <c r="E20" s="175"/>
      <c r="F20" s="30"/>
      <c r="G20" s="28"/>
      <c r="H20" s="90">
        <f>H21+H22+H23</f>
        <v>73.5488</v>
      </c>
      <c r="I20" s="94"/>
      <c r="J20" s="89"/>
    </row>
    <row r="21" spans="1:11" ht="15.75" x14ac:dyDescent="0.2">
      <c r="A21" s="31" t="s">
        <v>15</v>
      </c>
      <c r="B21" s="176" t="s">
        <v>99</v>
      </c>
      <c r="C21" s="177"/>
      <c r="D21" s="177"/>
      <c r="E21" s="177"/>
      <c r="F21" s="178"/>
      <c r="G21" s="32"/>
      <c r="H21" s="95">
        <f>Дані!G17</f>
        <v>70.72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>
        <v>0.04</v>
      </c>
      <c r="H22" s="90">
        <f>H21*G22</f>
        <v>2.8288000000000002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90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90">
        <f>H15*G24</f>
        <v>35.216895999999998</v>
      </c>
      <c r="I24" s="93"/>
      <c r="J24" s="89"/>
    </row>
    <row r="25" spans="1:11" ht="15" x14ac:dyDescent="0.2">
      <c r="A25" s="33"/>
      <c r="B25" s="85" t="s">
        <v>67</v>
      </c>
      <c r="C25" s="84"/>
      <c r="D25" s="84"/>
      <c r="E25" s="84"/>
      <c r="F25" s="84"/>
      <c r="G25" s="28">
        <v>0.05</v>
      </c>
      <c r="H25" s="90">
        <f>H15*G25</f>
        <v>8.0038400000000003</v>
      </c>
      <c r="I25" s="9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203.29753599999998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90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8"/>
      <c r="H28" s="90"/>
      <c r="I28" s="93">
        <f>I29+I33</f>
        <v>198.15</v>
      </c>
      <c r="J28" s="93">
        <f>J29+J33</f>
        <v>13.68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195</v>
      </c>
      <c r="J29" s="161">
        <f>ROUND(C30/100*B30,2)</f>
        <v>13.65</v>
      </c>
    </row>
    <row r="30" spans="1:11" ht="36" x14ac:dyDescent="0.2">
      <c r="A30" s="156"/>
      <c r="B30" s="68">
        <f>Дані!L6</f>
        <v>65</v>
      </c>
      <c r="C30" s="69">
        <v>21</v>
      </c>
      <c r="D30" s="70">
        <f>C30/100</f>
        <v>0.21</v>
      </c>
      <c r="E30" s="38" t="s">
        <v>92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8" t="s">
        <v>26</v>
      </c>
      <c r="E31" s="76">
        <v>3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8"/>
      <c r="H32" s="90"/>
      <c r="I32" s="100"/>
      <c r="J32" s="100"/>
    </row>
    <row r="33" spans="1:11" ht="15" x14ac:dyDescent="0.2">
      <c r="A33" s="21"/>
      <c r="B33" s="71">
        <f>Дані!L7</f>
        <v>108.5</v>
      </c>
      <c r="C33" s="72">
        <v>2.9000000000000001E-2</v>
      </c>
      <c r="D33" s="71">
        <f>C33*100</f>
        <v>2.9000000000000004</v>
      </c>
      <c r="E33" s="42"/>
      <c r="F33" s="42"/>
      <c r="G33" s="18"/>
      <c r="H33" s="90"/>
      <c r="I33" s="120">
        <f>ROUND(C33*B33,2)</f>
        <v>3.15</v>
      </c>
      <c r="J33" s="120">
        <f>ROUND(C33/100*B33,2)</f>
        <v>0.03</v>
      </c>
    </row>
    <row r="34" spans="1:11" ht="15" x14ac:dyDescent="0.2">
      <c r="A34" s="43"/>
      <c r="B34" s="44" t="s">
        <v>24</v>
      </c>
      <c r="C34" s="44" t="s">
        <v>26</v>
      </c>
      <c r="D34" s="44" t="s">
        <v>25</v>
      </c>
      <c r="E34" s="46"/>
      <c r="F34" s="42"/>
      <c r="G34" s="45"/>
      <c r="H34" s="101"/>
      <c r="I34" s="102"/>
      <c r="J34" s="103"/>
    </row>
    <row r="35" spans="1:11" ht="15.75" x14ac:dyDescent="0.25">
      <c r="A35" s="47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363.37433599999997</v>
      </c>
      <c r="I35" s="88">
        <f>I27+I28</f>
        <v>198.15</v>
      </c>
      <c r="J35" s="88">
        <f>J27+J28</f>
        <v>13.68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>
        <f>SUM(G37:G39)</f>
        <v>0.43000000000000005</v>
      </c>
      <c r="H36" s="87">
        <f>SUM(H37:H40)</f>
        <v>638.65096448000008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90.843583999999993</v>
      </c>
      <c r="I37" s="92"/>
      <c r="J37" s="89"/>
    </row>
    <row r="38" spans="1:11" ht="15" x14ac:dyDescent="0.2">
      <c r="A38" s="49" t="s">
        <v>34</v>
      </c>
      <c r="B38" s="50" t="s">
        <v>75</v>
      </c>
      <c r="C38" s="51"/>
      <c r="D38" s="51"/>
      <c r="E38" s="51"/>
      <c r="F38" s="51"/>
      <c r="G38" s="26">
        <v>0.08</v>
      </c>
      <c r="H38" s="105">
        <f>H35*G38</f>
        <v>29.06994688</v>
      </c>
      <c r="I38" s="92"/>
      <c r="J38" s="89"/>
    </row>
    <row r="39" spans="1:11" ht="15" x14ac:dyDescent="0.2">
      <c r="A39" s="49" t="s">
        <v>74</v>
      </c>
      <c r="B39" s="50" t="s">
        <v>35</v>
      </c>
      <c r="C39" s="51"/>
      <c r="D39" s="51"/>
      <c r="E39" s="51"/>
      <c r="F39" s="51"/>
      <c r="G39" s="26">
        <v>0.1</v>
      </c>
      <c r="H39" s="105">
        <f>H35*G39</f>
        <v>36.337433599999997</v>
      </c>
      <c r="I39" s="92"/>
      <c r="J39" s="89"/>
    </row>
    <row r="40" spans="1:11" ht="16.5" customHeight="1" x14ac:dyDescent="0.25">
      <c r="A40" s="47">
        <v>7</v>
      </c>
      <c r="B40" s="111" t="s">
        <v>97</v>
      </c>
      <c r="C40" s="112"/>
      <c r="D40" s="112"/>
      <c r="E40" s="112"/>
      <c r="F40" s="112"/>
      <c r="G40" s="118">
        <v>67</v>
      </c>
      <c r="H40" s="105">
        <f>G40*7.2</f>
        <v>482.40000000000003</v>
      </c>
      <c r="I40" s="92"/>
      <c r="J40" s="89"/>
    </row>
    <row r="41" spans="1:11" ht="15.75" x14ac:dyDescent="0.25">
      <c r="A41" s="47">
        <v>8</v>
      </c>
      <c r="B41" s="149" t="s">
        <v>64</v>
      </c>
      <c r="C41" s="150"/>
      <c r="D41" s="150"/>
      <c r="E41" s="150"/>
      <c r="F41" s="150"/>
      <c r="G41" s="20"/>
      <c r="H41" s="96">
        <f>H36+H35+H40</f>
        <v>1484.42530048</v>
      </c>
      <c r="I41" s="88">
        <f>I35</f>
        <v>198.15</v>
      </c>
      <c r="J41" s="88">
        <f>J35</f>
        <v>13.68</v>
      </c>
    </row>
    <row r="42" spans="1:11" ht="15" x14ac:dyDescent="0.2">
      <c r="A42" s="21">
        <v>9</v>
      </c>
      <c r="B42" s="151" t="s">
        <v>36</v>
      </c>
      <c r="C42" s="151"/>
      <c r="D42" s="151"/>
      <c r="E42" s="151"/>
      <c r="F42" s="151"/>
      <c r="G42" s="28">
        <v>0.05</v>
      </c>
      <c r="H42" s="90">
        <f>H41*12%</f>
        <v>178.1310360576</v>
      </c>
      <c r="I42" s="93">
        <f>I41*12%</f>
        <v>23.777999999999999</v>
      </c>
      <c r="J42" s="93">
        <f>J41*12%</f>
        <v>1.6415999999999999</v>
      </c>
    </row>
    <row r="43" spans="1:11" ht="15.75" x14ac:dyDescent="0.25">
      <c r="A43" s="47">
        <v>10</v>
      </c>
      <c r="B43" s="193" t="s">
        <v>37</v>
      </c>
      <c r="C43" s="194"/>
      <c r="D43" s="194"/>
      <c r="E43" s="194"/>
      <c r="F43" s="194"/>
      <c r="G43" s="20"/>
      <c r="H43" s="106">
        <f>H42+H41</f>
        <v>1662.5563365376001</v>
      </c>
      <c r="I43" s="107">
        <f>I42+I41</f>
        <v>221.928</v>
      </c>
      <c r="J43" s="107">
        <f>J42+J41</f>
        <v>15.3216</v>
      </c>
    </row>
    <row r="44" spans="1:11" ht="15" x14ac:dyDescent="0.2">
      <c r="A44" s="52">
        <v>11</v>
      </c>
      <c r="B44" s="195" t="s">
        <v>38</v>
      </c>
      <c r="C44" s="195"/>
      <c r="D44" s="195"/>
      <c r="E44" s="195"/>
      <c r="F44" s="195"/>
      <c r="G44" s="53">
        <v>0</v>
      </c>
      <c r="H44" s="108">
        <f>H43*G44</f>
        <v>0</v>
      </c>
      <c r="I44" s="109">
        <f>I43*G44</f>
        <v>0</v>
      </c>
      <c r="J44" s="109">
        <f>J43*G44</f>
        <v>0</v>
      </c>
      <c r="K44" s="54"/>
    </row>
    <row r="45" spans="1:11" ht="15.75" x14ac:dyDescent="0.2">
      <c r="A45" s="192">
        <v>12</v>
      </c>
      <c r="B45" s="188" t="s">
        <v>86</v>
      </c>
      <c r="C45" s="188"/>
      <c r="D45" s="188"/>
      <c r="E45" s="188"/>
      <c r="F45" s="189"/>
      <c r="G45" s="20"/>
      <c r="H45" s="96">
        <f>H44+H43</f>
        <v>1662.5563365376001</v>
      </c>
      <c r="I45" s="88">
        <f>I44+I43</f>
        <v>221.928</v>
      </c>
      <c r="J45" s="88">
        <f>J44+J43</f>
        <v>15.3216</v>
      </c>
    </row>
    <row r="46" spans="1:11" ht="15" customHeight="1" x14ac:dyDescent="0.25">
      <c r="A46" s="192"/>
      <c r="B46" s="190"/>
      <c r="C46" s="190"/>
      <c r="D46" s="190"/>
      <c r="E46" s="190"/>
      <c r="F46" s="191"/>
      <c r="G46" s="115"/>
      <c r="H46" s="196">
        <f>ROUND(SUM(H45:J45),0)</f>
        <v>1900</v>
      </c>
      <c r="I46" s="196"/>
      <c r="J46" s="127">
        <f>ROUND(SUM(J45),0)</f>
        <v>15</v>
      </c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 x14ac:dyDescent="0.2">
      <c r="A48" s="1"/>
      <c r="B48" s="1" t="s">
        <v>39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B45:F46"/>
    <mergeCell ref="A45:A46"/>
    <mergeCell ref="B43:F43"/>
    <mergeCell ref="B44:F44"/>
    <mergeCell ref="H46:I46"/>
    <mergeCell ref="A7:J7"/>
    <mergeCell ref="A8:J8"/>
    <mergeCell ref="A9:J9"/>
    <mergeCell ref="A10:J10"/>
    <mergeCell ref="B22:F22"/>
    <mergeCell ref="B20:E20"/>
    <mergeCell ref="B21:F21"/>
    <mergeCell ref="B14:F14"/>
    <mergeCell ref="B15:F15"/>
    <mergeCell ref="B16:F16"/>
    <mergeCell ref="B17:F17"/>
    <mergeCell ref="B18:F18"/>
    <mergeCell ref="B19:F19"/>
    <mergeCell ref="G12:I12"/>
    <mergeCell ref="G13:I13"/>
    <mergeCell ref="B23:F23"/>
    <mergeCell ref="J29:J30"/>
    <mergeCell ref="B32:F32"/>
    <mergeCell ref="B35:F35"/>
    <mergeCell ref="B36:F36"/>
    <mergeCell ref="G29:G30"/>
    <mergeCell ref="H29:H30"/>
    <mergeCell ref="I29:I30"/>
    <mergeCell ref="B24:F24"/>
    <mergeCell ref="B27:F27"/>
    <mergeCell ref="B41:F41"/>
    <mergeCell ref="B42:F42"/>
    <mergeCell ref="B28:F28"/>
    <mergeCell ref="A29:A31"/>
    <mergeCell ref="B29:F29"/>
  </mergeCells>
  <pageMargins left="0.59055118110236227" right="0.19685039370078741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2C3E-DD6D-42B0-846C-73B0D02555BC}">
  <sheetPr>
    <tabColor theme="7"/>
    <pageSetUpPr fitToPage="1"/>
  </sheetPr>
  <dimension ref="A1:K51"/>
  <sheetViews>
    <sheetView topLeftCell="A23" workbookViewId="0">
      <selection activeCell="H46" sqref="H46:I46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2.5703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94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77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78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f>Дані!L7</f>
        <v>108.5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5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160.07679999999999</v>
      </c>
      <c r="I15" s="88"/>
      <c r="J15" s="89"/>
    </row>
    <row r="16" spans="1:11" ht="15" x14ac:dyDescent="0.2">
      <c r="A16" s="21" t="s">
        <v>8</v>
      </c>
      <c r="B16" s="154" t="s">
        <v>9</v>
      </c>
      <c r="C16" s="151"/>
      <c r="D16" s="151"/>
      <c r="E16" s="151"/>
      <c r="F16" s="151"/>
      <c r="G16" s="22"/>
      <c r="H16" s="90">
        <f>H17+H19+H18</f>
        <v>86.528000000000006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f>'АН 8194 КІ'!H17</f>
        <v>83.2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>
        <v>0.04</v>
      </c>
      <c r="H18" s="90">
        <f>H17*G18</f>
        <v>3.3280000000000003</v>
      </c>
      <c r="I18" s="9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f>H17*G19</f>
        <v>0</v>
      </c>
      <c r="I19" s="93"/>
      <c r="J19" s="89"/>
    </row>
    <row r="20" spans="1:11" ht="15" x14ac:dyDescent="0.2">
      <c r="A20" s="29" t="s">
        <v>13</v>
      </c>
      <c r="B20" s="174" t="s">
        <v>14</v>
      </c>
      <c r="C20" s="175"/>
      <c r="D20" s="175"/>
      <c r="E20" s="175"/>
      <c r="F20" s="30"/>
      <c r="G20" s="28"/>
      <c r="H20" s="90">
        <f>H21+H22+H23</f>
        <v>73.5488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f>'АН 8194 КІ'!H21</f>
        <v>70.72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>
        <v>0.04</v>
      </c>
      <c r="H22" s="90">
        <f>H21*G22</f>
        <v>2.8288000000000002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90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90">
        <f>H15*G24</f>
        <v>35.216895999999998</v>
      </c>
      <c r="I24" s="93"/>
      <c r="J24" s="89"/>
    </row>
    <row r="25" spans="1:11" ht="15" x14ac:dyDescent="0.2">
      <c r="A25" s="33"/>
      <c r="B25" s="85" t="s">
        <v>67</v>
      </c>
      <c r="C25" s="84"/>
      <c r="D25" s="84"/>
      <c r="E25" s="84"/>
      <c r="F25" s="84"/>
      <c r="G25" s="28">
        <v>0.05</v>
      </c>
      <c r="H25" s="90">
        <f>H15*G25</f>
        <v>8.0038400000000003</v>
      </c>
      <c r="I25" s="9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203.29753599999998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90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8"/>
      <c r="H28" s="90"/>
      <c r="I28" s="93">
        <f>I29+I33</f>
        <v>782.82</v>
      </c>
      <c r="J28" s="93">
        <f>J29+J33</f>
        <v>22.78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780</v>
      </c>
      <c r="J29" s="161">
        <f>ROUND(C30/100*B30,2)</f>
        <v>22.75</v>
      </c>
    </row>
    <row r="30" spans="1:11" ht="36" x14ac:dyDescent="0.2">
      <c r="A30" s="156"/>
      <c r="B30" s="68">
        <f>Дані!L6</f>
        <v>65</v>
      </c>
      <c r="C30" s="69">
        <v>35</v>
      </c>
      <c r="D30" s="70">
        <f>C30/100</f>
        <v>0.35</v>
      </c>
      <c r="E30" s="38" t="s">
        <v>93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8" t="s">
        <v>26</v>
      </c>
      <c r="E31" s="76">
        <v>12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8"/>
      <c r="H32" s="90"/>
      <c r="I32" s="100"/>
      <c r="J32" s="100"/>
    </row>
    <row r="33" spans="1:11" ht="15" x14ac:dyDescent="0.2">
      <c r="A33" s="21"/>
      <c r="B33" s="71">
        <f>Дані!L7</f>
        <v>108.5</v>
      </c>
      <c r="C33" s="72">
        <v>2.9000000000000001E-2</v>
      </c>
      <c r="D33" s="71">
        <f>C33*100</f>
        <v>2.9000000000000004</v>
      </c>
      <c r="E33" s="119">
        <v>2.5999999999999999E-2</v>
      </c>
      <c r="F33" s="42"/>
      <c r="G33" s="18"/>
      <c r="H33" s="90"/>
      <c r="I33" s="93">
        <f>ROUND(E33*B33,2)</f>
        <v>2.82</v>
      </c>
      <c r="J33" s="93">
        <f>ROUND(C33/100*B33,2)</f>
        <v>0.03</v>
      </c>
    </row>
    <row r="34" spans="1:11" ht="15" x14ac:dyDescent="0.2">
      <c r="A34" s="43"/>
      <c r="B34" s="44" t="s">
        <v>24</v>
      </c>
      <c r="C34" s="44" t="s">
        <v>26</v>
      </c>
      <c r="D34" s="44" t="s">
        <v>25</v>
      </c>
      <c r="E34" s="46"/>
      <c r="F34" s="42"/>
      <c r="G34" s="45"/>
      <c r="H34" s="101"/>
      <c r="I34" s="102"/>
      <c r="J34" s="103"/>
    </row>
    <row r="35" spans="1:11" ht="15.75" x14ac:dyDescent="0.25">
      <c r="A35" s="47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363.37433599999997</v>
      </c>
      <c r="I35" s="88">
        <f>I27+I28</f>
        <v>782.82</v>
      </c>
      <c r="J35" s="88">
        <f>J27+J28</f>
        <v>22.78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>
        <f>SUM(G37:G39)</f>
        <v>0.45</v>
      </c>
      <c r="H36" s="87">
        <f>SUM(H37:H40)</f>
        <v>573.91845120000005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90.843583999999993</v>
      </c>
      <c r="I37" s="92"/>
      <c r="J37" s="89"/>
    </row>
    <row r="38" spans="1:11" ht="15" x14ac:dyDescent="0.2">
      <c r="A38" s="49" t="s">
        <v>34</v>
      </c>
      <c r="B38" s="50" t="s">
        <v>75</v>
      </c>
      <c r="C38" s="51"/>
      <c r="D38" s="51"/>
      <c r="E38" s="51"/>
      <c r="F38" s="51"/>
      <c r="G38" s="26">
        <v>0.15</v>
      </c>
      <c r="H38" s="105">
        <f>H35*G38</f>
        <v>54.506150399999996</v>
      </c>
      <c r="I38" s="92"/>
      <c r="J38" s="89"/>
    </row>
    <row r="39" spans="1:11" ht="15" x14ac:dyDescent="0.2">
      <c r="A39" s="49" t="s">
        <v>74</v>
      </c>
      <c r="B39" s="50" t="s">
        <v>35</v>
      </c>
      <c r="C39" s="51"/>
      <c r="D39" s="51"/>
      <c r="E39" s="51"/>
      <c r="F39" s="51"/>
      <c r="G39" s="26">
        <f>Дані!L12</f>
        <v>0.05</v>
      </c>
      <c r="H39" s="105">
        <f>H35*G39</f>
        <v>18.168716799999999</v>
      </c>
      <c r="I39" s="92"/>
      <c r="J39" s="89"/>
    </row>
    <row r="40" spans="1:11" ht="16.5" customHeight="1" x14ac:dyDescent="0.25">
      <c r="A40" s="47">
        <v>7</v>
      </c>
      <c r="B40" s="111" t="s">
        <v>97</v>
      </c>
      <c r="C40" s="112"/>
      <c r="D40" s="112"/>
      <c r="E40" s="112"/>
      <c r="F40" s="112"/>
      <c r="G40" s="118">
        <v>57</v>
      </c>
      <c r="H40" s="105">
        <f>G40*7.2</f>
        <v>410.40000000000003</v>
      </c>
      <c r="I40" s="92"/>
      <c r="J40" s="89"/>
    </row>
    <row r="41" spans="1:11" ht="15.75" x14ac:dyDescent="0.25">
      <c r="A41" s="47">
        <v>8</v>
      </c>
      <c r="B41" s="149" t="s">
        <v>64</v>
      </c>
      <c r="C41" s="150"/>
      <c r="D41" s="150"/>
      <c r="E41" s="150"/>
      <c r="F41" s="150"/>
      <c r="G41" s="20"/>
      <c r="H41" s="96">
        <f>H36+H35+H40</f>
        <v>1347.6927872000001</v>
      </c>
      <c r="I41" s="88">
        <f>I35</f>
        <v>782.82</v>
      </c>
      <c r="J41" s="88">
        <f>J35</f>
        <v>22.78</v>
      </c>
    </row>
    <row r="42" spans="1:11" ht="15" x14ac:dyDescent="0.2">
      <c r="A42" s="21">
        <v>9</v>
      </c>
      <c r="B42" s="151" t="s">
        <v>36</v>
      </c>
      <c r="C42" s="151"/>
      <c r="D42" s="151"/>
      <c r="E42" s="151"/>
      <c r="F42" s="151"/>
      <c r="G42" s="28">
        <v>0.05</v>
      </c>
      <c r="H42" s="90">
        <f>H41*12%</f>
        <v>161.723134464</v>
      </c>
      <c r="I42" s="93">
        <f>I41*12%</f>
        <v>93.938400000000001</v>
      </c>
      <c r="J42" s="93">
        <f>J41*12%</f>
        <v>2.7336</v>
      </c>
    </row>
    <row r="43" spans="1:11" ht="15.75" x14ac:dyDescent="0.25">
      <c r="A43" s="47">
        <v>10</v>
      </c>
      <c r="B43" s="193" t="s">
        <v>37</v>
      </c>
      <c r="C43" s="194"/>
      <c r="D43" s="194"/>
      <c r="E43" s="194"/>
      <c r="F43" s="194"/>
      <c r="G43" s="20"/>
      <c r="H43" s="106">
        <f>H42+H41</f>
        <v>1509.4159216640001</v>
      </c>
      <c r="I43" s="107">
        <f>I42+I41</f>
        <v>876.75840000000005</v>
      </c>
      <c r="J43" s="107">
        <f>J42+J41</f>
        <v>25.5136</v>
      </c>
    </row>
    <row r="44" spans="1:11" ht="15" x14ac:dyDescent="0.2">
      <c r="A44" s="52">
        <v>11</v>
      </c>
      <c r="B44" s="195" t="s">
        <v>38</v>
      </c>
      <c r="C44" s="195"/>
      <c r="D44" s="195"/>
      <c r="E44" s="195"/>
      <c r="F44" s="195"/>
      <c r="G44" s="53">
        <v>0</v>
      </c>
      <c r="H44" s="108">
        <f>H43*G44</f>
        <v>0</v>
      </c>
      <c r="I44" s="109">
        <f>I43*G44</f>
        <v>0</v>
      </c>
      <c r="J44" s="109">
        <f>J43*G44</f>
        <v>0</v>
      </c>
      <c r="K44" s="54"/>
    </row>
    <row r="45" spans="1:11" ht="15.75" x14ac:dyDescent="0.2">
      <c r="A45" s="192">
        <v>12</v>
      </c>
      <c r="B45" s="188" t="s">
        <v>86</v>
      </c>
      <c r="C45" s="188"/>
      <c r="D45" s="188"/>
      <c r="E45" s="188"/>
      <c r="F45" s="189"/>
      <c r="G45" s="20"/>
      <c r="H45" s="96">
        <f>H44+H43</f>
        <v>1509.4159216640001</v>
      </c>
      <c r="I45" s="88">
        <f>I44+I43</f>
        <v>876.75840000000005</v>
      </c>
      <c r="J45" s="88">
        <f>J44+J43</f>
        <v>25.5136</v>
      </c>
    </row>
    <row r="46" spans="1:11" ht="15" customHeight="1" x14ac:dyDescent="0.25">
      <c r="A46" s="192"/>
      <c r="B46" s="190"/>
      <c r="C46" s="190"/>
      <c r="D46" s="190"/>
      <c r="E46" s="190"/>
      <c r="F46" s="191"/>
      <c r="G46" s="115"/>
      <c r="H46" s="196">
        <f>ROUND(SUM(H45:J45),0)</f>
        <v>2412</v>
      </c>
      <c r="I46" s="196"/>
      <c r="J46" s="127">
        <f>ROUND(SUM(J45),0)</f>
        <v>26</v>
      </c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 x14ac:dyDescent="0.2">
      <c r="A48" s="1"/>
      <c r="B48" s="1" t="s">
        <v>39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B43:F43"/>
    <mergeCell ref="B44:F44"/>
    <mergeCell ref="A45:A46"/>
    <mergeCell ref="B45:F46"/>
    <mergeCell ref="H46:I46"/>
    <mergeCell ref="J29:J30"/>
    <mergeCell ref="B32:F32"/>
    <mergeCell ref="B35:F35"/>
    <mergeCell ref="B36:F36"/>
    <mergeCell ref="B41:F41"/>
    <mergeCell ref="H29:H30"/>
    <mergeCell ref="I29:I30"/>
    <mergeCell ref="B42:F42"/>
    <mergeCell ref="B28:F28"/>
    <mergeCell ref="A29:A31"/>
    <mergeCell ref="B29:F29"/>
    <mergeCell ref="G29:G30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.19685039370078741" top="0.19685039370078741" bottom="0.19685039370078741" header="0" footer="0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F3B9-9000-45EB-8304-3A4D2F453D3F}">
  <sheetPr>
    <pageSetUpPr fitToPage="1"/>
  </sheetPr>
  <dimension ref="A1:K51"/>
  <sheetViews>
    <sheetView topLeftCell="A21" zoomScaleNormal="100" workbookViewId="0">
      <selection activeCell="H46" sqref="H46:I46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2.5703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95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77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78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f>Дані!L7</f>
        <v>108.5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5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168.39680000000001</v>
      </c>
      <c r="I15" s="88"/>
      <c r="J15" s="89"/>
    </row>
    <row r="16" spans="1:11" ht="15" x14ac:dyDescent="0.2">
      <c r="A16" s="21" t="s">
        <v>8</v>
      </c>
      <c r="B16" s="154" t="s">
        <v>9</v>
      </c>
      <c r="C16" s="151"/>
      <c r="D16" s="151"/>
      <c r="E16" s="151"/>
      <c r="F16" s="151"/>
      <c r="G16" s="22"/>
      <c r="H16" s="90">
        <f>H17+H19+H18</f>
        <v>94.848000000000013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f>'АН 8194 КІ'!H17</f>
        <v>83.2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>
        <v>0.04</v>
      </c>
      <c r="H18" s="90">
        <f>H17*G18</f>
        <v>3.3280000000000003</v>
      </c>
      <c r="I18" s="9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>
        <v>0.1</v>
      </c>
      <c r="H19" s="105">
        <f>H17*G19</f>
        <v>8.32</v>
      </c>
      <c r="I19" s="93"/>
      <c r="J19" s="89"/>
    </row>
    <row r="20" spans="1:11" ht="15" x14ac:dyDescent="0.2">
      <c r="A20" s="29" t="s">
        <v>13</v>
      </c>
      <c r="B20" s="174" t="s">
        <v>14</v>
      </c>
      <c r="C20" s="175"/>
      <c r="D20" s="175"/>
      <c r="E20" s="175"/>
      <c r="F20" s="30"/>
      <c r="G20" s="28"/>
      <c r="H20" s="90">
        <f>H21+H22+H23</f>
        <v>73.5488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f>'АН 8194 КІ'!H21</f>
        <v>70.72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>
        <v>0.04</v>
      </c>
      <c r="H22" s="90">
        <f>H21*G22</f>
        <v>2.8288000000000002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90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90">
        <f>H15*G24</f>
        <v>37.047296000000003</v>
      </c>
      <c r="I24" s="93"/>
      <c r="J24" s="89"/>
    </row>
    <row r="25" spans="1:11" ht="15" x14ac:dyDescent="0.2">
      <c r="A25" s="33"/>
      <c r="B25" s="85" t="s">
        <v>67</v>
      </c>
      <c r="C25" s="84"/>
      <c r="D25" s="84"/>
      <c r="E25" s="84"/>
      <c r="F25" s="84"/>
      <c r="G25" s="28">
        <v>0.05</v>
      </c>
      <c r="H25" s="90">
        <f>H15*G25</f>
        <v>8.4198400000000007</v>
      </c>
      <c r="I25" s="9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213.863936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90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8"/>
      <c r="H28" s="90"/>
      <c r="I28" s="93">
        <f>I29+I33</f>
        <v>327.82</v>
      </c>
      <c r="J28" s="93">
        <f>J29+J33</f>
        <v>22.78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325</v>
      </c>
      <c r="J29" s="161">
        <f>ROUND(C30/100*B30,2)</f>
        <v>22.75</v>
      </c>
    </row>
    <row r="30" spans="1:11" ht="36" x14ac:dyDescent="0.2">
      <c r="A30" s="156"/>
      <c r="B30" s="68">
        <f>Дані!L6</f>
        <v>65</v>
      </c>
      <c r="C30" s="69">
        <v>35</v>
      </c>
      <c r="D30" s="70">
        <f>C30/100</f>
        <v>0.35</v>
      </c>
      <c r="E30" s="38" t="s">
        <v>96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8" t="s">
        <v>26</v>
      </c>
      <c r="E31" s="76">
        <v>5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8"/>
      <c r="H32" s="90"/>
      <c r="I32" s="100"/>
      <c r="J32" s="100"/>
    </row>
    <row r="33" spans="1:11" ht="15" x14ac:dyDescent="0.2">
      <c r="A33" s="21"/>
      <c r="B33" s="71">
        <f>Дані!L7</f>
        <v>108.5</v>
      </c>
      <c r="C33" s="72">
        <v>2.9000000000000001E-2</v>
      </c>
      <c r="D33" s="71">
        <f>C33*100</f>
        <v>2.9000000000000004</v>
      </c>
      <c r="E33" s="119">
        <v>2.5999999999999999E-2</v>
      </c>
      <c r="F33" s="42"/>
      <c r="G33" s="18"/>
      <c r="H33" s="90"/>
      <c r="I33" s="93">
        <f>ROUND(E33*B33,2)</f>
        <v>2.82</v>
      </c>
      <c r="J33" s="93">
        <f>ROUND(C33/100*B33,2)</f>
        <v>0.03</v>
      </c>
    </row>
    <row r="34" spans="1:11" ht="15" x14ac:dyDescent="0.2">
      <c r="A34" s="43"/>
      <c r="B34" s="44" t="s">
        <v>24</v>
      </c>
      <c r="C34" s="44" t="s">
        <v>26</v>
      </c>
      <c r="D34" s="44" t="s">
        <v>25</v>
      </c>
      <c r="E34" s="46"/>
      <c r="F34" s="42"/>
      <c r="G34" s="45"/>
      <c r="H34" s="101"/>
      <c r="I34" s="102"/>
      <c r="J34" s="103"/>
    </row>
    <row r="35" spans="1:11" ht="15.75" x14ac:dyDescent="0.25">
      <c r="A35" s="47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382.26073600000001</v>
      </c>
      <c r="I35" s="88">
        <f>I27+I28</f>
        <v>327.82</v>
      </c>
      <c r="J35" s="88">
        <f>J27+J28</f>
        <v>22.78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>
        <f>SUM(G37:G39)</f>
        <v>0.45</v>
      </c>
      <c r="H36" s="87">
        <f>SUM(H37:H40)</f>
        <v>654.41733120000004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95.565184000000002</v>
      </c>
      <c r="I37" s="92"/>
      <c r="J37" s="89"/>
    </row>
    <row r="38" spans="1:11" ht="15" x14ac:dyDescent="0.2">
      <c r="A38" s="49" t="s">
        <v>34</v>
      </c>
      <c r="B38" s="50" t="s">
        <v>75</v>
      </c>
      <c r="C38" s="51"/>
      <c r="D38" s="51"/>
      <c r="E38" s="51"/>
      <c r="F38" s="51"/>
      <c r="G38" s="26">
        <v>0.15</v>
      </c>
      <c r="H38" s="105">
        <f>H35*G38</f>
        <v>57.339110400000003</v>
      </c>
      <c r="I38" s="92"/>
      <c r="J38" s="89"/>
    </row>
    <row r="39" spans="1:11" ht="15" x14ac:dyDescent="0.2">
      <c r="A39" s="49" t="s">
        <v>74</v>
      </c>
      <c r="B39" s="50" t="s">
        <v>35</v>
      </c>
      <c r="C39" s="51"/>
      <c r="D39" s="51"/>
      <c r="E39" s="51"/>
      <c r="F39" s="51"/>
      <c r="G39" s="26">
        <f>Дані!L12</f>
        <v>0.05</v>
      </c>
      <c r="H39" s="105">
        <f>H35*G39</f>
        <v>19.1130368</v>
      </c>
      <c r="I39" s="92"/>
      <c r="J39" s="89"/>
    </row>
    <row r="40" spans="1:11" ht="15.75" customHeight="1" x14ac:dyDescent="0.25">
      <c r="A40" s="47">
        <v>7</v>
      </c>
      <c r="B40" s="111" t="s">
        <v>97</v>
      </c>
      <c r="C40" s="112"/>
      <c r="D40" s="112"/>
      <c r="E40" s="112"/>
      <c r="F40" s="112"/>
      <c r="G40" s="118">
        <v>67</v>
      </c>
      <c r="H40" s="105">
        <f>G40*7.2</f>
        <v>482.40000000000003</v>
      </c>
      <c r="I40" s="92"/>
      <c r="J40" s="89"/>
    </row>
    <row r="41" spans="1:11" ht="15.75" x14ac:dyDescent="0.25">
      <c r="A41" s="47">
        <v>8</v>
      </c>
      <c r="B41" s="149" t="s">
        <v>64</v>
      </c>
      <c r="C41" s="150"/>
      <c r="D41" s="150"/>
      <c r="E41" s="150"/>
      <c r="F41" s="150"/>
      <c r="G41" s="20"/>
      <c r="H41" s="96">
        <f>H36+H35+H40</f>
        <v>1519.0780672000001</v>
      </c>
      <c r="I41" s="88">
        <f>I35</f>
        <v>327.82</v>
      </c>
      <c r="J41" s="88">
        <f>J35</f>
        <v>22.78</v>
      </c>
    </row>
    <row r="42" spans="1:11" ht="15" x14ac:dyDescent="0.2">
      <c r="A42" s="21">
        <v>9</v>
      </c>
      <c r="B42" s="151" t="s">
        <v>36</v>
      </c>
      <c r="C42" s="151"/>
      <c r="D42" s="151"/>
      <c r="E42" s="151"/>
      <c r="F42" s="151"/>
      <c r="G42" s="28">
        <v>0.05</v>
      </c>
      <c r="H42" s="90">
        <f>H41*12%</f>
        <v>182.289368064</v>
      </c>
      <c r="I42" s="93">
        <f>I41*12%</f>
        <v>39.3384</v>
      </c>
      <c r="J42" s="93">
        <f>J41*12%</f>
        <v>2.7336</v>
      </c>
    </row>
    <row r="43" spans="1:11" ht="15.75" x14ac:dyDescent="0.25">
      <c r="A43" s="47">
        <v>10</v>
      </c>
      <c r="B43" s="193" t="s">
        <v>37</v>
      </c>
      <c r="C43" s="194"/>
      <c r="D43" s="194"/>
      <c r="E43" s="194"/>
      <c r="F43" s="194"/>
      <c r="G43" s="20"/>
      <c r="H43" s="106">
        <f>H42+H41</f>
        <v>1701.3674352640001</v>
      </c>
      <c r="I43" s="107">
        <f>I42+I41</f>
        <v>367.15839999999997</v>
      </c>
      <c r="J43" s="107">
        <f>J42+J41</f>
        <v>25.5136</v>
      </c>
    </row>
    <row r="44" spans="1:11" ht="15" x14ac:dyDescent="0.2">
      <c r="A44" s="52">
        <v>11</v>
      </c>
      <c r="B44" s="195" t="s">
        <v>38</v>
      </c>
      <c r="C44" s="195"/>
      <c r="D44" s="195"/>
      <c r="E44" s="195"/>
      <c r="F44" s="195"/>
      <c r="G44" s="53">
        <v>0</v>
      </c>
      <c r="H44" s="108">
        <f>H43*G44</f>
        <v>0</v>
      </c>
      <c r="I44" s="109">
        <f>I43*G44</f>
        <v>0</v>
      </c>
      <c r="J44" s="109">
        <f>J43*G44</f>
        <v>0</v>
      </c>
      <c r="K44" s="54"/>
    </row>
    <row r="45" spans="1:11" ht="15.75" x14ac:dyDescent="0.2">
      <c r="A45" s="192">
        <v>12</v>
      </c>
      <c r="B45" s="188" t="s">
        <v>86</v>
      </c>
      <c r="C45" s="188"/>
      <c r="D45" s="188"/>
      <c r="E45" s="188"/>
      <c r="F45" s="189"/>
      <c r="G45" s="20"/>
      <c r="H45" s="96">
        <f>H44+H43</f>
        <v>1701.3674352640001</v>
      </c>
      <c r="I45" s="88">
        <f>I44+I43</f>
        <v>367.15839999999997</v>
      </c>
      <c r="J45" s="88">
        <f>J44+J43</f>
        <v>25.5136</v>
      </c>
    </row>
    <row r="46" spans="1:11" ht="15" customHeight="1" x14ac:dyDescent="0.25">
      <c r="A46" s="192"/>
      <c r="B46" s="190"/>
      <c r="C46" s="190"/>
      <c r="D46" s="190"/>
      <c r="E46" s="190"/>
      <c r="F46" s="191"/>
      <c r="G46" s="115"/>
      <c r="H46" s="196">
        <f>ROUND(SUM(H45:J45),0)</f>
        <v>2094</v>
      </c>
      <c r="I46" s="196"/>
      <c r="J46" s="127">
        <f>ROUND(SUM(J45),0)</f>
        <v>26</v>
      </c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2"/>
    </row>
    <row r="48" spans="1:11" ht="15" x14ac:dyDescent="0.2">
      <c r="A48" s="1"/>
      <c r="B48" s="1" t="s">
        <v>39</v>
      </c>
      <c r="C48" s="1"/>
      <c r="D48" s="1"/>
      <c r="E48" s="1"/>
      <c r="F48" s="1" t="s">
        <v>40</v>
      </c>
      <c r="G48" s="1"/>
      <c r="H48" s="1"/>
      <c r="I48" s="1" t="s">
        <v>42</v>
      </c>
      <c r="J48" s="12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3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5">
    <mergeCell ref="B43:F43"/>
    <mergeCell ref="B44:F44"/>
    <mergeCell ref="A45:A46"/>
    <mergeCell ref="B45:F46"/>
    <mergeCell ref="H46:I46"/>
    <mergeCell ref="J29:J30"/>
    <mergeCell ref="B32:F32"/>
    <mergeCell ref="B35:F35"/>
    <mergeCell ref="B36:F36"/>
    <mergeCell ref="B41:F41"/>
    <mergeCell ref="H29:H30"/>
    <mergeCell ref="I29:I30"/>
    <mergeCell ref="B42:F42"/>
    <mergeCell ref="B28:F28"/>
    <mergeCell ref="A29:A31"/>
    <mergeCell ref="B29:F29"/>
    <mergeCell ref="G29:G30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" top="0.19685039370078741" bottom="0.19685039370078741" header="0" footer="0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23A0-F996-43EC-BB43-2DC8395C93D8}">
  <sheetPr>
    <tabColor rgb="FFFFC000"/>
    <pageSetUpPr fitToPage="1"/>
  </sheetPr>
  <dimension ref="A1:K52"/>
  <sheetViews>
    <sheetView topLeftCell="A20" workbookViewId="0">
      <selection activeCell="H47" sqref="H47:J47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2.5703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79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87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f>Дані!L7</f>
        <v>108.5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91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80</v>
      </c>
      <c r="I15" s="88"/>
      <c r="J15" s="89"/>
    </row>
    <row r="16" spans="1:11" ht="15" x14ac:dyDescent="0.2">
      <c r="A16" s="21" t="s">
        <v>8</v>
      </c>
      <c r="B16" s="154" t="s">
        <v>84</v>
      </c>
      <c r="C16" s="151"/>
      <c r="D16" s="151"/>
      <c r="E16" s="151"/>
      <c r="F16" s="151"/>
      <c r="G16" s="22"/>
      <c r="H16" s="90">
        <f>SUM(H17:H19)</f>
        <v>80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f>'ДТ-130'!H17</f>
        <v>80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/>
      <c r="H18" s="90">
        <f>H17*G18</f>
        <v>0</v>
      </c>
      <c r="I18" s="9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f>H17*G19</f>
        <v>0</v>
      </c>
      <c r="I19" s="93"/>
      <c r="J19" s="89"/>
    </row>
    <row r="20" spans="1:11" ht="15" x14ac:dyDescent="0.2">
      <c r="A20" s="29" t="s">
        <v>13</v>
      </c>
      <c r="B20" s="174" t="s">
        <v>88</v>
      </c>
      <c r="C20" s="175"/>
      <c r="D20" s="175"/>
      <c r="E20" s="175"/>
      <c r="F20" s="30"/>
      <c r="G20" s="28"/>
      <c r="H20" s="90">
        <f>H21+H22+H23</f>
        <v>0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v>0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/>
      <c r="H22" s="90">
        <f>H21*G22</f>
        <v>0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90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90">
        <f>H15*G24</f>
        <v>17.600000000000001</v>
      </c>
      <c r="I24" s="93"/>
      <c r="J24" s="89"/>
    </row>
    <row r="25" spans="1:11" ht="15" x14ac:dyDescent="0.2">
      <c r="A25" s="33"/>
      <c r="B25" s="85" t="s">
        <v>67</v>
      </c>
      <c r="C25" s="84"/>
      <c r="D25" s="84"/>
      <c r="E25" s="84"/>
      <c r="F25" s="84"/>
      <c r="G25" s="28">
        <v>0.05</v>
      </c>
      <c r="H25" s="90">
        <f>H15*G25</f>
        <v>4</v>
      </c>
      <c r="I25" s="9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101.6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90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8"/>
      <c r="H28" s="90"/>
      <c r="I28" s="93">
        <f>I29+I33</f>
        <v>524.08000000000004</v>
      </c>
      <c r="J28" s="93">
        <f>J29+J33</f>
        <v>0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520</v>
      </c>
      <c r="J29" s="161">
        <f>ROUND(C30/100*B30,2)</f>
        <v>0</v>
      </c>
    </row>
    <row r="30" spans="1:11" ht="15" x14ac:dyDescent="0.2">
      <c r="A30" s="156"/>
      <c r="B30" s="68">
        <f>Дані!L6</f>
        <v>65</v>
      </c>
      <c r="C30" s="69"/>
      <c r="D30" s="70">
        <f>C30/100</f>
        <v>0</v>
      </c>
      <c r="E30" s="38" t="s">
        <v>89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8" t="s">
        <v>26</v>
      </c>
      <c r="E31" s="76">
        <v>8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8"/>
      <c r="H32" s="90"/>
      <c r="I32" s="100"/>
      <c r="J32" s="100"/>
    </row>
    <row r="33" spans="1:11" ht="15" x14ac:dyDescent="0.2">
      <c r="A33" s="21"/>
      <c r="B33" s="71">
        <v>102</v>
      </c>
      <c r="C33" s="72"/>
      <c r="D33" s="71">
        <f>C33*100</f>
        <v>0</v>
      </c>
      <c r="E33" s="114" t="s">
        <v>90</v>
      </c>
      <c r="F33" s="42"/>
      <c r="G33" s="18"/>
      <c r="H33" s="90"/>
      <c r="I33" s="93">
        <f>ROUND(E34*B33,2)</f>
        <v>4.08</v>
      </c>
      <c r="J33" s="100">
        <f>ROUND(C33/100*B33,2)</f>
        <v>0</v>
      </c>
    </row>
    <row r="34" spans="1:11" ht="15" x14ac:dyDescent="0.2">
      <c r="A34" s="43"/>
      <c r="B34" s="44" t="s">
        <v>24</v>
      </c>
      <c r="C34" s="44" t="s">
        <v>26</v>
      </c>
      <c r="D34" s="44" t="s">
        <v>25</v>
      </c>
      <c r="E34" s="117">
        <f>E31*0.005</f>
        <v>0.04</v>
      </c>
      <c r="F34" s="42"/>
      <c r="G34" s="45"/>
      <c r="H34" s="101"/>
      <c r="I34" s="102"/>
      <c r="J34" s="103"/>
    </row>
    <row r="35" spans="1:11" ht="15.75" x14ac:dyDescent="0.25">
      <c r="A35" s="47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181.6</v>
      </c>
      <c r="I35" s="88">
        <f>I27+I28</f>
        <v>524.08000000000004</v>
      </c>
      <c r="J35" s="88">
        <f>J27+J28</f>
        <v>0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/>
      <c r="H36" s="87">
        <f>SUM(H38:H40)</f>
        <v>87.17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45.4</v>
      </c>
      <c r="I37" s="92"/>
      <c r="J37" s="89"/>
    </row>
    <row r="38" spans="1:11" ht="15" x14ac:dyDescent="0.2">
      <c r="A38" s="49" t="s">
        <v>34</v>
      </c>
      <c r="B38" s="50" t="s">
        <v>81</v>
      </c>
      <c r="C38" s="51"/>
      <c r="D38" s="51"/>
      <c r="E38" s="51"/>
      <c r="F38" s="51"/>
      <c r="G38" s="26"/>
      <c r="H38" s="105">
        <v>7</v>
      </c>
      <c r="I38" s="92"/>
      <c r="J38" s="89"/>
    </row>
    <row r="39" spans="1:11" ht="15" x14ac:dyDescent="0.2">
      <c r="A39" s="49" t="s">
        <v>74</v>
      </c>
      <c r="B39" s="50" t="s">
        <v>83</v>
      </c>
      <c r="C39" s="51"/>
      <c r="D39" s="51"/>
      <c r="E39" s="51"/>
      <c r="F39" s="51"/>
      <c r="G39" s="26"/>
      <c r="H39" s="105">
        <v>71.09</v>
      </c>
      <c r="I39" s="92"/>
      <c r="J39" s="89"/>
    </row>
    <row r="40" spans="1:11" ht="15" x14ac:dyDescent="0.2">
      <c r="A40" s="49" t="s">
        <v>82</v>
      </c>
      <c r="B40" s="50" t="s">
        <v>35</v>
      </c>
      <c r="C40" s="51"/>
      <c r="D40" s="51"/>
      <c r="E40" s="51"/>
      <c r="F40" s="51"/>
      <c r="G40" s="26">
        <f>Дані!L12</f>
        <v>0.05</v>
      </c>
      <c r="H40" s="105">
        <f>H35*G40</f>
        <v>9.08</v>
      </c>
      <c r="I40" s="92"/>
      <c r="J40" s="89"/>
    </row>
    <row r="41" spans="1:11" ht="15.75" x14ac:dyDescent="0.25">
      <c r="A41" s="47">
        <v>7</v>
      </c>
      <c r="B41" s="111" t="s">
        <v>80</v>
      </c>
      <c r="C41" s="112"/>
      <c r="D41" s="112"/>
      <c r="E41" s="112"/>
      <c r="F41" s="112"/>
      <c r="G41" s="113"/>
      <c r="H41" s="105">
        <f>G41*7.2</f>
        <v>0</v>
      </c>
      <c r="I41" s="92"/>
      <c r="J41" s="89"/>
    </row>
    <row r="42" spans="1:11" ht="15.75" x14ac:dyDescent="0.25">
      <c r="A42" s="47">
        <v>8</v>
      </c>
      <c r="B42" s="149" t="s">
        <v>64</v>
      </c>
      <c r="C42" s="150"/>
      <c r="D42" s="150"/>
      <c r="E42" s="150"/>
      <c r="F42" s="150"/>
      <c r="G42" s="20"/>
      <c r="H42" s="96">
        <f>H36+H35+H41</f>
        <v>268.77</v>
      </c>
      <c r="I42" s="88">
        <f>I35</f>
        <v>524.08000000000004</v>
      </c>
      <c r="J42" s="88">
        <f>J35</f>
        <v>0</v>
      </c>
    </row>
    <row r="43" spans="1:11" ht="15" x14ac:dyDescent="0.2">
      <c r="A43" s="21">
        <v>9</v>
      </c>
      <c r="B43" s="151" t="s">
        <v>36</v>
      </c>
      <c r="C43" s="151"/>
      <c r="D43" s="151"/>
      <c r="E43" s="151"/>
      <c r="F43" s="151"/>
      <c r="G43" s="28">
        <v>0.05</v>
      </c>
      <c r="H43" s="90">
        <f>H42*12%</f>
        <v>32.252399999999994</v>
      </c>
      <c r="I43" s="93">
        <v>0</v>
      </c>
      <c r="J43" s="93">
        <f>J42*12%</f>
        <v>0</v>
      </c>
    </row>
    <row r="44" spans="1:11" ht="15.75" x14ac:dyDescent="0.25">
      <c r="A44" s="47">
        <v>10</v>
      </c>
      <c r="B44" s="193" t="s">
        <v>37</v>
      </c>
      <c r="C44" s="194"/>
      <c r="D44" s="194"/>
      <c r="E44" s="194"/>
      <c r="F44" s="194"/>
      <c r="G44" s="20"/>
      <c r="H44" s="106">
        <f>H43+H42</f>
        <v>301.02239999999995</v>
      </c>
      <c r="I44" s="107">
        <f>I43+I42</f>
        <v>524.08000000000004</v>
      </c>
      <c r="J44" s="107">
        <f>J43+J42</f>
        <v>0</v>
      </c>
    </row>
    <row r="45" spans="1:11" ht="15" x14ac:dyDescent="0.2">
      <c r="A45" s="52">
        <v>11</v>
      </c>
      <c r="B45" s="195" t="s">
        <v>38</v>
      </c>
      <c r="C45" s="195"/>
      <c r="D45" s="195"/>
      <c r="E45" s="195"/>
      <c r="F45" s="195"/>
      <c r="G45" s="53">
        <v>0</v>
      </c>
      <c r="H45" s="108">
        <f>H44*G45</f>
        <v>0</v>
      </c>
      <c r="I45" s="109">
        <f>I44*G45</f>
        <v>0</v>
      </c>
      <c r="J45" s="109">
        <f>J44*G45</f>
        <v>0</v>
      </c>
      <c r="K45" s="54"/>
    </row>
    <row r="46" spans="1:11" ht="15.75" x14ac:dyDescent="0.2">
      <c r="A46" s="192">
        <v>12</v>
      </c>
      <c r="B46" s="188" t="s">
        <v>86</v>
      </c>
      <c r="C46" s="188"/>
      <c r="D46" s="188"/>
      <c r="E46" s="188"/>
      <c r="F46" s="189"/>
      <c r="G46" s="20"/>
      <c r="H46" s="106">
        <f>H45+H44</f>
        <v>301.02239999999995</v>
      </c>
      <c r="I46" s="88">
        <f>I45+I44</f>
        <v>524.08000000000004</v>
      </c>
      <c r="J46" s="88">
        <f>J45+J44</f>
        <v>0</v>
      </c>
    </row>
    <row r="47" spans="1:11" ht="15.75" x14ac:dyDescent="0.25">
      <c r="A47" s="192"/>
      <c r="B47" s="190"/>
      <c r="C47" s="190"/>
      <c r="D47" s="190"/>
      <c r="E47" s="190"/>
      <c r="F47" s="191"/>
      <c r="G47" s="115"/>
      <c r="H47" s="196">
        <f>ROUND(SUM(H46:J46),0)</f>
        <v>825</v>
      </c>
      <c r="I47" s="196"/>
      <c r="J47" s="197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 x14ac:dyDescent="0.2">
      <c r="A49" s="1"/>
      <c r="B49" s="1" t="s">
        <v>39</v>
      </c>
      <c r="C49" s="1"/>
      <c r="D49" s="1"/>
      <c r="E49" s="1"/>
      <c r="F49" s="1" t="s">
        <v>40</v>
      </c>
      <c r="G49" s="1"/>
      <c r="H49" s="1"/>
      <c r="I49" s="1" t="s">
        <v>42</v>
      </c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2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3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5">
    <mergeCell ref="A46:A47"/>
    <mergeCell ref="B46:F47"/>
    <mergeCell ref="H47:J47"/>
    <mergeCell ref="J29:J30"/>
    <mergeCell ref="B32:F32"/>
    <mergeCell ref="B35:F35"/>
    <mergeCell ref="B36:F36"/>
    <mergeCell ref="B42:F42"/>
    <mergeCell ref="I29:I30"/>
    <mergeCell ref="B43:F43"/>
    <mergeCell ref="B44:F44"/>
    <mergeCell ref="B45:F45"/>
    <mergeCell ref="B28:F28"/>
    <mergeCell ref="A29:A31"/>
    <mergeCell ref="B29:F29"/>
    <mergeCell ref="G29:G30"/>
    <mergeCell ref="H29:H30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39370078740157483" right="0" top="0.19685039370078741" bottom="0.19685039370078741" header="0.31496062992125984" footer="0"/>
  <pageSetup paperSize="9"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173E-ADDC-48DE-BA6E-0F7F7F6395AA}">
  <sheetPr>
    <tabColor rgb="FFFFC000"/>
    <pageSetUpPr fitToPage="1"/>
  </sheetPr>
  <dimension ref="A1:L52"/>
  <sheetViews>
    <sheetView workbookViewId="0">
      <selection activeCell="A10" sqref="A10:J10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2.5703125" style="2" customWidth="1"/>
    <col min="10" max="10" width="11.85546875" style="2" customWidth="1"/>
    <col min="11" max="11" width="9.140625" style="2"/>
    <col min="12" max="12" width="13.42578125" style="2" bestFit="1" customWidth="1"/>
    <col min="13" max="16384" width="9.140625" style="2"/>
  </cols>
  <sheetData>
    <row r="1" spans="1:12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2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2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2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2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2" ht="18" x14ac:dyDescent="0.25">
      <c r="A6" s="6"/>
      <c r="C6" s="3"/>
      <c r="D6" s="3"/>
      <c r="E6" s="3"/>
      <c r="F6" s="3"/>
      <c r="G6" s="8"/>
      <c r="H6" s="8"/>
      <c r="J6" s="12"/>
    </row>
    <row r="7" spans="1:12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2" ht="15.75" x14ac:dyDescent="0.25">
      <c r="A8" s="172" t="s">
        <v>79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2" ht="15.75" x14ac:dyDescent="0.25">
      <c r="A9" s="172" t="s">
        <v>98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2" x14ac:dyDescent="0.2">
      <c r="A10" s="173" t="s">
        <v>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15.75" customHeight="1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2" x14ac:dyDescent="0.2">
      <c r="F13" s="17"/>
      <c r="G13" s="186" t="s">
        <v>59</v>
      </c>
      <c r="H13" s="186"/>
      <c r="I13" s="187"/>
      <c r="J13" s="74">
        <f>Дані!L7</f>
        <v>108.5</v>
      </c>
    </row>
    <row r="14" spans="1:12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91</v>
      </c>
      <c r="J14" s="83" t="s">
        <v>6</v>
      </c>
    </row>
    <row r="15" spans="1:12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80</v>
      </c>
      <c r="I15" s="88"/>
      <c r="J15" s="89"/>
    </row>
    <row r="16" spans="1:12" ht="15" x14ac:dyDescent="0.2">
      <c r="A16" s="21" t="s">
        <v>8</v>
      </c>
      <c r="B16" s="154" t="s">
        <v>84</v>
      </c>
      <c r="C16" s="151"/>
      <c r="D16" s="151"/>
      <c r="E16" s="151"/>
      <c r="F16" s="151"/>
      <c r="G16" s="22"/>
      <c r="H16" s="125">
        <f>SUM(H17:H19)</f>
        <v>80</v>
      </c>
      <c r="I16" s="91"/>
      <c r="J16" s="89"/>
      <c r="L16" s="128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f>'ДТ-130'!H17</f>
        <v>80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/>
      <c r="H18" s="125">
        <f>H17*G18</f>
        <v>0</v>
      </c>
      <c r="I18" s="12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f>H17*G19</f>
        <v>0</v>
      </c>
      <c r="I19" s="123"/>
      <c r="J19" s="89"/>
    </row>
    <row r="20" spans="1:11" ht="15" x14ac:dyDescent="0.2">
      <c r="A20" s="29" t="s">
        <v>13</v>
      </c>
      <c r="B20" s="174" t="s">
        <v>88</v>
      </c>
      <c r="C20" s="175"/>
      <c r="D20" s="175"/>
      <c r="E20" s="175"/>
      <c r="F20" s="30"/>
      <c r="G20" s="28"/>
      <c r="H20" s="125">
        <f>H21+H22+H23</f>
        <v>0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v>0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/>
      <c r="H22" s="125">
        <f>H21*G22</f>
        <v>0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125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125">
        <f>H15*G24</f>
        <v>17.600000000000001</v>
      </c>
      <c r="I24" s="123"/>
      <c r="J24" s="89"/>
    </row>
    <row r="25" spans="1:11" ht="15" x14ac:dyDescent="0.2">
      <c r="A25" s="33"/>
      <c r="B25" s="126" t="s">
        <v>67</v>
      </c>
      <c r="C25" s="84"/>
      <c r="D25" s="84"/>
      <c r="E25" s="84"/>
      <c r="F25" s="84"/>
      <c r="G25" s="28">
        <v>0.05</v>
      </c>
      <c r="H25" s="125">
        <f>H15*G25</f>
        <v>4</v>
      </c>
      <c r="I25" s="12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101.6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125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24"/>
      <c r="H28" s="125"/>
      <c r="I28" s="123">
        <f>I29+I33</f>
        <v>524.08000000000004</v>
      </c>
      <c r="J28" s="123">
        <f>J29+J33</f>
        <v>0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520</v>
      </c>
      <c r="J29" s="161">
        <f>ROUND(C30/100*B30,2)</f>
        <v>0</v>
      </c>
    </row>
    <row r="30" spans="1:11" ht="15" x14ac:dyDescent="0.2">
      <c r="A30" s="156"/>
      <c r="B30" s="68">
        <f>Дані!L6</f>
        <v>65</v>
      </c>
      <c r="C30" s="69"/>
      <c r="D30" s="70">
        <f>C30/100</f>
        <v>0</v>
      </c>
      <c r="E30" s="38" t="s">
        <v>89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24" t="s">
        <v>26</v>
      </c>
      <c r="E31" s="76">
        <v>8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24"/>
      <c r="H32" s="125"/>
      <c r="I32" s="100"/>
      <c r="J32" s="100"/>
    </row>
    <row r="33" spans="1:11" ht="15" x14ac:dyDescent="0.2">
      <c r="A33" s="21"/>
      <c r="B33" s="71">
        <v>102</v>
      </c>
      <c r="C33" s="72"/>
      <c r="D33" s="71">
        <f>C33*100</f>
        <v>0</v>
      </c>
      <c r="E33" s="114" t="s">
        <v>90</v>
      </c>
      <c r="F33" s="122"/>
      <c r="G33" s="124"/>
      <c r="H33" s="125"/>
      <c r="I33" s="123">
        <f>ROUND(E34*B33,2)</f>
        <v>4.08</v>
      </c>
      <c r="J33" s="100">
        <f>ROUND(C33/100*B33,2)</f>
        <v>0</v>
      </c>
    </row>
    <row r="34" spans="1:11" ht="15" x14ac:dyDescent="0.2">
      <c r="A34" s="43"/>
      <c r="B34" s="44" t="s">
        <v>24</v>
      </c>
      <c r="C34" s="44" t="s">
        <v>26</v>
      </c>
      <c r="D34" s="44" t="s">
        <v>25</v>
      </c>
      <c r="E34" s="117">
        <f>E31*0.005</f>
        <v>0.04</v>
      </c>
      <c r="F34" s="122"/>
      <c r="G34" s="45"/>
      <c r="H34" s="101"/>
      <c r="I34" s="102"/>
      <c r="J34" s="103"/>
    </row>
    <row r="35" spans="1:11" ht="15.75" x14ac:dyDescent="0.25">
      <c r="A35" s="121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181.6</v>
      </c>
      <c r="I35" s="88">
        <f>I27+I28</f>
        <v>524.08000000000004</v>
      </c>
      <c r="J35" s="88">
        <f>J27+J28</f>
        <v>0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/>
      <c r="H36" s="87">
        <f>SUM(H38:H40)</f>
        <v>100.08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45.4</v>
      </c>
      <c r="I37" s="92"/>
      <c r="J37" s="89"/>
    </row>
    <row r="38" spans="1:11" ht="15" x14ac:dyDescent="0.2">
      <c r="A38" s="49" t="s">
        <v>34</v>
      </c>
      <c r="B38" s="50" t="s">
        <v>81</v>
      </c>
      <c r="C38" s="51"/>
      <c r="D38" s="51"/>
      <c r="E38" s="51"/>
      <c r="F38" s="51"/>
      <c r="G38" s="26"/>
      <c r="H38" s="105">
        <v>15</v>
      </c>
      <c r="I38" s="92"/>
      <c r="J38" s="89"/>
    </row>
    <row r="39" spans="1:11" ht="15" x14ac:dyDescent="0.2">
      <c r="A39" s="49" t="s">
        <v>74</v>
      </c>
      <c r="B39" s="50" t="s">
        <v>83</v>
      </c>
      <c r="C39" s="51"/>
      <c r="D39" s="51"/>
      <c r="E39" s="51"/>
      <c r="F39" s="51"/>
      <c r="G39" s="26"/>
      <c r="H39" s="105">
        <v>76</v>
      </c>
      <c r="I39" s="92"/>
      <c r="J39" s="89"/>
    </row>
    <row r="40" spans="1:11" ht="15" x14ac:dyDescent="0.2">
      <c r="A40" s="49" t="s">
        <v>82</v>
      </c>
      <c r="B40" s="50" t="s">
        <v>35</v>
      </c>
      <c r="C40" s="51"/>
      <c r="D40" s="51"/>
      <c r="E40" s="51"/>
      <c r="F40" s="51"/>
      <c r="G40" s="26">
        <f>Дані!L12</f>
        <v>0.05</v>
      </c>
      <c r="H40" s="105">
        <f>H35*G40</f>
        <v>9.08</v>
      </c>
      <c r="I40" s="92"/>
      <c r="J40" s="89"/>
    </row>
    <row r="41" spans="1:11" ht="15.75" x14ac:dyDescent="0.25">
      <c r="A41" s="121">
        <v>7</v>
      </c>
      <c r="B41" s="111" t="s">
        <v>80</v>
      </c>
      <c r="C41" s="112"/>
      <c r="D41" s="112"/>
      <c r="E41" s="112"/>
      <c r="F41" s="112"/>
      <c r="G41" s="113"/>
      <c r="H41" s="105">
        <f>G41*7.2</f>
        <v>0</v>
      </c>
      <c r="I41" s="92"/>
      <c r="J41" s="89"/>
    </row>
    <row r="42" spans="1:11" ht="15.75" x14ac:dyDescent="0.25">
      <c r="A42" s="121">
        <v>8</v>
      </c>
      <c r="B42" s="149" t="s">
        <v>64</v>
      </c>
      <c r="C42" s="150"/>
      <c r="D42" s="150"/>
      <c r="E42" s="150"/>
      <c r="F42" s="150"/>
      <c r="G42" s="20"/>
      <c r="H42" s="96">
        <f>H36+H35+H41</f>
        <v>281.68</v>
      </c>
      <c r="I42" s="88">
        <f>I35</f>
        <v>524.08000000000004</v>
      </c>
      <c r="J42" s="88">
        <f>J35</f>
        <v>0</v>
      </c>
    </row>
    <row r="43" spans="1:11" ht="15" x14ac:dyDescent="0.2">
      <c r="A43" s="21">
        <v>9</v>
      </c>
      <c r="B43" s="151" t="s">
        <v>36</v>
      </c>
      <c r="C43" s="151"/>
      <c r="D43" s="151"/>
      <c r="E43" s="151"/>
      <c r="F43" s="151"/>
      <c r="G43" s="28">
        <v>0.05</v>
      </c>
      <c r="H43" s="125">
        <f>H42*G43</f>
        <v>14.084000000000001</v>
      </c>
      <c r="I43" s="123">
        <v>0</v>
      </c>
      <c r="J43" s="123">
        <f>J42*12%</f>
        <v>0</v>
      </c>
    </row>
    <row r="44" spans="1:11" ht="15.75" x14ac:dyDescent="0.25">
      <c r="A44" s="121">
        <v>10</v>
      </c>
      <c r="B44" s="193" t="s">
        <v>37</v>
      </c>
      <c r="C44" s="194"/>
      <c r="D44" s="194"/>
      <c r="E44" s="194"/>
      <c r="F44" s="194"/>
      <c r="G44" s="20"/>
      <c r="H44" s="106">
        <f>H43+H42</f>
        <v>295.76400000000001</v>
      </c>
      <c r="I44" s="107">
        <f>I43+I42</f>
        <v>524.08000000000004</v>
      </c>
      <c r="J44" s="107">
        <f>J43+J42</f>
        <v>0</v>
      </c>
    </row>
    <row r="45" spans="1:11" ht="15" x14ac:dyDescent="0.2">
      <c r="A45" s="52">
        <v>11</v>
      </c>
      <c r="B45" s="195" t="s">
        <v>38</v>
      </c>
      <c r="C45" s="195"/>
      <c r="D45" s="195"/>
      <c r="E45" s="195"/>
      <c r="F45" s="195"/>
      <c r="G45" s="53">
        <v>0</v>
      </c>
      <c r="H45" s="108">
        <f>H44*G45</f>
        <v>0</v>
      </c>
      <c r="I45" s="109">
        <f>I44*G45</f>
        <v>0</v>
      </c>
      <c r="J45" s="109">
        <f>J44*G45</f>
        <v>0</v>
      </c>
      <c r="K45" s="54"/>
    </row>
    <row r="46" spans="1:11" ht="15.75" x14ac:dyDescent="0.2">
      <c r="A46" s="192">
        <v>12</v>
      </c>
      <c r="B46" s="188" t="s">
        <v>86</v>
      </c>
      <c r="C46" s="188"/>
      <c r="D46" s="188"/>
      <c r="E46" s="188"/>
      <c r="F46" s="189"/>
      <c r="G46" s="20"/>
      <c r="H46" s="106">
        <f>H45+H44</f>
        <v>295.76400000000001</v>
      </c>
      <c r="I46" s="88">
        <f>I45+I44</f>
        <v>524.08000000000004</v>
      </c>
      <c r="J46" s="88">
        <f>J45+J44</f>
        <v>0</v>
      </c>
    </row>
    <row r="47" spans="1:11" ht="15.75" x14ac:dyDescent="0.25">
      <c r="A47" s="192"/>
      <c r="B47" s="190"/>
      <c r="C47" s="190"/>
      <c r="D47" s="190"/>
      <c r="E47" s="190"/>
      <c r="F47" s="191"/>
      <c r="G47" s="115"/>
      <c r="H47" s="196">
        <f>ROUND(SUM(H46:J46),0)</f>
        <v>820</v>
      </c>
      <c r="I47" s="196"/>
      <c r="J47" s="197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 x14ac:dyDescent="0.2">
      <c r="A49" s="1"/>
      <c r="B49" s="1" t="s">
        <v>39</v>
      </c>
      <c r="C49" s="1"/>
      <c r="D49" s="1"/>
      <c r="E49" s="1"/>
      <c r="F49" s="1" t="s">
        <v>40</v>
      </c>
      <c r="G49" s="1"/>
      <c r="H49" s="1"/>
      <c r="I49" s="1" t="s">
        <v>42</v>
      </c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2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3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5">
    <mergeCell ref="B44:F44"/>
    <mergeCell ref="B45:F45"/>
    <mergeCell ref="A46:A47"/>
    <mergeCell ref="B46:F47"/>
    <mergeCell ref="H47:J47"/>
    <mergeCell ref="J29:J30"/>
    <mergeCell ref="B32:F32"/>
    <mergeCell ref="B35:F35"/>
    <mergeCell ref="B36:F36"/>
    <mergeCell ref="B42:F42"/>
    <mergeCell ref="H29:H30"/>
    <mergeCell ref="I29:I30"/>
    <mergeCell ref="B43:F43"/>
    <mergeCell ref="B28:F28"/>
    <mergeCell ref="A29:A31"/>
    <mergeCell ref="B29:F29"/>
    <mergeCell ref="G29:G30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59055118110236227" right="0.19685039370078741" top="0.19685039370078741" bottom="0.19685039370078741" header="0" footer="0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F26E-5CA2-4922-9DBB-D2A36BF49894}">
  <sheetPr>
    <tabColor rgb="FFFFC000"/>
    <pageSetUpPr fitToPage="1"/>
  </sheetPr>
  <dimension ref="A1:K52"/>
  <sheetViews>
    <sheetView zoomScaleNormal="100" workbookViewId="0"/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5.42578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79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103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v>108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91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100</v>
      </c>
      <c r="I15" s="88"/>
      <c r="J15" s="89"/>
    </row>
    <row r="16" spans="1:11" ht="15" x14ac:dyDescent="0.2">
      <c r="A16" s="21" t="s">
        <v>8</v>
      </c>
      <c r="B16" s="154" t="s">
        <v>84</v>
      </c>
      <c r="C16" s="151"/>
      <c r="D16" s="151"/>
      <c r="E16" s="151"/>
      <c r="F16" s="151"/>
      <c r="G16" s="22"/>
      <c r="H16" s="90">
        <f>SUM(H17:H19)</f>
        <v>100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v>80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/>
      <c r="H18" s="90">
        <v>10</v>
      </c>
      <c r="I18" s="93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v>10</v>
      </c>
      <c r="I19" s="93"/>
      <c r="J19" s="89"/>
    </row>
    <row r="20" spans="1:11" ht="15" x14ac:dyDescent="0.2">
      <c r="A20" s="29" t="s">
        <v>13</v>
      </c>
      <c r="B20" s="174" t="s">
        <v>88</v>
      </c>
      <c r="C20" s="175"/>
      <c r="D20" s="175"/>
      <c r="E20" s="175"/>
      <c r="F20" s="30"/>
      <c r="G20" s="28"/>
      <c r="H20" s="90">
        <f>H21+H22+H23</f>
        <v>0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v>0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/>
      <c r="H22" s="90">
        <f>H21*G22</f>
        <v>0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90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90">
        <f>H15*G24</f>
        <v>22</v>
      </c>
      <c r="I24" s="93"/>
      <c r="J24" s="89"/>
    </row>
    <row r="25" spans="1:11" ht="15" x14ac:dyDescent="0.2">
      <c r="A25" s="33"/>
      <c r="B25" s="85" t="s">
        <v>67</v>
      </c>
      <c r="C25" s="84"/>
      <c r="D25" s="84"/>
      <c r="E25" s="84"/>
      <c r="F25" s="84"/>
      <c r="G25" s="28">
        <v>0.05</v>
      </c>
      <c r="H25" s="90">
        <f>H15*G25</f>
        <v>5</v>
      </c>
      <c r="I25" s="93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127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90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8"/>
      <c r="H28" s="90"/>
      <c r="I28" s="93">
        <f>I29+I33</f>
        <v>1199.1600000000001</v>
      </c>
      <c r="J28" s="93">
        <f>J29+J33</f>
        <v>97.5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1170</v>
      </c>
      <c r="J29" s="161">
        <f>ROUND(C30/100*B30,2)</f>
        <v>0</v>
      </c>
    </row>
    <row r="30" spans="1:11" ht="15" x14ac:dyDescent="0.2">
      <c r="A30" s="156"/>
      <c r="B30" s="68">
        <f>Дані!L6</f>
        <v>65</v>
      </c>
      <c r="C30" s="69"/>
      <c r="D30" s="70">
        <f>C30/100</f>
        <v>0</v>
      </c>
      <c r="E30" s="38" t="s">
        <v>85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8" t="s">
        <v>26</v>
      </c>
      <c r="E31" s="76">
        <v>18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8"/>
      <c r="H32" s="90"/>
      <c r="I32" s="100"/>
      <c r="J32" s="100"/>
    </row>
    <row r="33" spans="1:11" ht="15" x14ac:dyDescent="0.2">
      <c r="A33" s="21"/>
      <c r="B33" s="71">
        <v>108</v>
      </c>
      <c r="C33" s="72">
        <v>1.5</v>
      </c>
      <c r="D33" s="71">
        <f>C33*100</f>
        <v>150</v>
      </c>
      <c r="E33" s="114" t="s">
        <v>105</v>
      </c>
      <c r="F33" s="42"/>
      <c r="G33" s="18"/>
      <c r="H33" s="90"/>
      <c r="I33" s="93">
        <f>ROUND(E34*B33,2)</f>
        <v>29.16</v>
      </c>
      <c r="J33" s="129">
        <f>ROUND(D33/100*B30,2)</f>
        <v>97.5</v>
      </c>
    </row>
    <row r="34" spans="1:11" ht="15" x14ac:dyDescent="0.2">
      <c r="A34" s="43"/>
      <c r="B34" s="44" t="s">
        <v>24</v>
      </c>
      <c r="C34" s="44" t="s">
        <v>104</v>
      </c>
      <c r="D34" s="44" t="s">
        <v>25</v>
      </c>
      <c r="E34" s="116">
        <f>E31*0.015</f>
        <v>0.27</v>
      </c>
      <c r="F34" s="42"/>
      <c r="G34" s="45"/>
      <c r="H34" s="101"/>
      <c r="I34" s="102"/>
      <c r="J34" s="103"/>
    </row>
    <row r="35" spans="1:11" ht="15.75" x14ac:dyDescent="0.25">
      <c r="A35" s="47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227</v>
      </c>
      <c r="I35" s="88">
        <f>I27+I28</f>
        <v>1199.1600000000001</v>
      </c>
      <c r="J35" s="88">
        <f>J27+J28</f>
        <v>97.5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/>
      <c r="H36" s="87">
        <f>SUM(H37:H40)</f>
        <v>390.82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56.75</v>
      </c>
      <c r="I37" s="92"/>
      <c r="J37" s="89"/>
    </row>
    <row r="38" spans="1:11" ht="15" x14ac:dyDescent="0.2">
      <c r="A38" s="49" t="s">
        <v>34</v>
      </c>
      <c r="B38" s="50" t="s">
        <v>81</v>
      </c>
      <c r="C38" s="51"/>
      <c r="D38" s="51"/>
      <c r="E38" s="51"/>
      <c r="F38" s="51"/>
      <c r="G38" s="26"/>
      <c r="H38" s="105">
        <v>250</v>
      </c>
      <c r="I38" s="92"/>
      <c r="J38" s="89"/>
    </row>
    <row r="39" spans="1:11" ht="15" x14ac:dyDescent="0.2">
      <c r="A39" s="49" t="s">
        <v>74</v>
      </c>
      <c r="B39" s="50" t="s">
        <v>83</v>
      </c>
      <c r="C39" s="51"/>
      <c r="D39" s="51"/>
      <c r="E39" s="51"/>
      <c r="F39" s="51"/>
      <c r="G39" s="26"/>
      <c r="H39" s="105">
        <v>41.67</v>
      </c>
      <c r="I39" s="92"/>
      <c r="J39" s="89"/>
    </row>
    <row r="40" spans="1:11" ht="15" x14ac:dyDescent="0.2">
      <c r="A40" s="49" t="s">
        <v>82</v>
      </c>
      <c r="B40" s="50" t="s">
        <v>35</v>
      </c>
      <c r="C40" s="51"/>
      <c r="D40" s="51"/>
      <c r="E40" s="51"/>
      <c r="F40" s="51"/>
      <c r="G40" s="26"/>
      <c r="H40" s="105">
        <v>42.4</v>
      </c>
      <c r="I40" s="92"/>
      <c r="J40" s="89"/>
    </row>
    <row r="41" spans="1:11" ht="15.75" x14ac:dyDescent="0.25">
      <c r="A41" s="47">
        <v>7</v>
      </c>
      <c r="B41" s="111" t="s">
        <v>80</v>
      </c>
      <c r="C41" s="112"/>
      <c r="D41" s="112"/>
      <c r="E41" s="112"/>
      <c r="F41" s="112"/>
      <c r="G41" s="113"/>
      <c r="H41" s="105">
        <f>G41*7.2</f>
        <v>0</v>
      </c>
      <c r="I41" s="92"/>
      <c r="J41" s="89"/>
    </row>
    <row r="42" spans="1:11" ht="15.75" x14ac:dyDescent="0.25">
      <c r="A42" s="47">
        <v>8</v>
      </c>
      <c r="B42" s="149" t="s">
        <v>64</v>
      </c>
      <c r="C42" s="150"/>
      <c r="D42" s="150"/>
      <c r="E42" s="150"/>
      <c r="F42" s="150"/>
      <c r="G42" s="20"/>
      <c r="H42" s="96">
        <f>H36+H35+H41</f>
        <v>617.81999999999994</v>
      </c>
      <c r="I42" s="88">
        <f>I35</f>
        <v>1199.1600000000001</v>
      </c>
      <c r="J42" s="88">
        <f>J35</f>
        <v>97.5</v>
      </c>
    </row>
    <row r="43" spans="1:11" ht="15" x14ac:dyDescent="0.2">
      <c r="A43" s="21">
        <v>9</v>
      </c>
      <c r="B43" s="151" t="s">
        <v>36</v>
      </c>
      <c r="C43" s="151"/>
      <c r="D43" s="151"/>
      <c r="E43" s="151"/>
      <c r="F43" s="151"/>
      <c r="G43" s="28">
        <v>0.05</v>
      </c>
      <c r="H43" s="90">
        <f>H42*12%</f>
        <v>74.13839999999999</v>
      </c>
      <c r="I43" s="93">
        <v>0</v>
      </c>
      <c r="J43" s="93">
        <f>J42*12%</f>
        <v>11.7</v>
      </c>
    </row>
    <row r="44" spans="1:11" ht="15.75" x14ac:dyDescent="0.25">
      <c r="A44" s="47">
        <v>10</v>
      </c>
      <c r="B44" s="193" t="s">
        <v>37</v>
      </c>
      <c r="C44" s="194"/>
      <c r="D44" s="194"/>
      <c r="E44" s="194"/>
      <c r="F44" s="194"/>
      <c r="G44" s="20"/>
      <c r="H44" s="106">
        <f>H43+H42</f>
        <v>691.95839999999998</v>
      </c>
      <c r="I44" s="107">
        <f>I43+I42</f>
        <v>1199.1600000000001</v>
      </c>
      <c r="J44" s="107">
        <f>J43+J42</f>
        <v>109.2</v>
      </c>
    </row>
    <row r="45" spans="1:11" ht="15" x14ac:dyDescent="0.2">
      <c r="A45" s="52">
        <v>11</v>
      </c>
      <c r="B45" s="195" t="s">
        <v>38</v>
      </c>
      <c r="C45" s="195"/>
      <c r="D45" s="195"/>
      <c r="E45" s="195"/>
      <c r="F45" s="195"/>
      <c r="G45" s="53">
        <v>0</v>
      </c>
      <c r="H45" s="108">
        <f>H44*G45</f>
        <v>0</v>
      </c>
      <c r="I45" s="109">
        <f>I44*G45</f>
        <v>0</v>
      </c>
      <c r="J45" s="109">
        <f>J44*G45</f>
        <v>0</v>
      </c>
      <c r="K45" s="54"/>
    </row>
    <row r="46" spans="1:11" ht="15.75" x14ac:dyDescent="0.2">
      <c r="A46" s="192">
        <v>12</v>
      </c>
      <c r="B46" s="188" t="s">
        <v>86</v>
      </c>
      <c r="C46" s="188"/>
      <c r="D46" s="188"/>
      <c r="E46" s="188"/>
      <c r="F46" s="189"/>
      <c r="G46" s="20"/>
      <c r="H46" s="106">
        <f>H45+H44</f>
        <v>691.95839999999998</v>
      </c>
      <c r="I46" s="88">
        <f>I45+I44</f>
        <v>1199.1600000000001</v>
      </c>
      <c r="J46" s="88">
        <f>J45+J44</f>
        <v>109.2</v>
      </c>
    </row>
    <row r="47" spans="1:11" ht="15.75" x14ac:dyDescent="0.25">
      <c r="A47" s="192"/>
      <c r="B47" s="190"/>
      <c r="C47" s="190"/>
      <c r="D47" s="190"/>
      <c r="E47" s="190"/>
      <c r="F47" s="191"/>
      <c r="G47" s="115"/>
      <c r="H47" s="196">
        <f>ROUND(SUM(H46:J46),0)</f>
        <v>2000</v>
      </c>
      <c r="I47" s="196"/>
      <c r="J47" s="197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 x14ac:dyDescent="0.2">
      <c r="A49" s="1"/>
      <c r="B49" s="1" t="s">
        <v>39</v>
      </c>
      <c r="C49" s="1"/>
      <c r="D49" s="1"/>
      <c r="E49" s="1"/>
      <c r="F49" s="1" t="s">
        <v>40</v>
      </c>
      <c r="G49" s="1"/>
      <c r="H49" s="1"/>
      <c r="I49" s="1" t="s">
        <v>42</v>
      </c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2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3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5">
    <mergeCell ref="H47:J47"/>
    <mergeCell ref="B44:F44"/>
    <mergeCell ref="B45:F45"/>
    <mergeCell ref="B46:F47"/>
    <mergeCell ref="A46:A47"/>
    <mergeCell ref="J29:J30"/>
    <mergeCell ref="B32:F32"/>
    <mergeCell ref="B35:F35"/>
    <mergeCell ref="B36:F36"/>
    <mergeCell ref="B42:F42"/>
    <mergeCell ref="H29:H30"/>
    <mergeCell ref="I29:I30"/>
    <mergeCell ref="B43:F43"/>
    <mergeCell ref="B28:F28"/>
    <mergeCell ref="A29:A31"/>
    <mergeCell ref="B29:F29"/>
    <mergeCell ref="G29:G30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G13:I13"/>
    <mergeCell ref="A7:J7"/>
    <mergeCell ref="A8:J8"/>
    <mergeCell ref="A9:J9"/>
    <mergeCell ref="A10:J10"/>
    <mergeCell ref="G12:I12"/>
  </mergeCells>
  <pageMargins left="0.59055118110236227" right="0" top="0.19685039370078741" bottom="0.19685039370078741" header="0.19685039370078741" footer="0.19685039370078741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D56A-26FE-47C1-817A-25D156B34702}">
  <dimension ref="A1:K52"/>
  <sheetViews>
    <sheetView workbookViewId="0">
      <selection activeCell="A7" sqref="A7:J7"/>
    </sheetView>
  </sheetViews>
  <sheetFormatPr defaultRowHeight="14.25" x14ac:dyDescent="0.2"/>
  <cols>
    <col min="1" max="1" width="6.140625" style="2" customWidth="1"/>
    <col min="2" max="2" width="6.85546875" style="2" customWidth="1"/>
    <col min="3" max="3" width="6.42578125" style="2" customWidth="1"/>
    <col min="4" max="4" width="7.140625" style="2" customWidth="1"/>
    <col min="5" max="5" width="32.42578125" style="2" customWidth="1"/>
    <col min="6" max="6" width="0.140625" style="2" customWidth="1"/>
    <col min="7" max="7" width="9" style="2" customWidth="1"/>
    <col min="8" max="8" width="13.42578125" style="2" customWidth="1"/>
    <col min="9" max="9" width="15.42578125" style="2" customWidth="1"/>
    <col min="10" max="10" width="11.85546875" style="2" customWidth="1"/>
    <col min="11" max="16384" width="9.140625" style="2"/>
  </cols>
  <sheetData>
    <row r="1" spans="1:11" ht="18" x14ac:dyDescent="0.25">
      <c r="A1" s="1"/>
      <c r="C1" s="3"/>
      <c r="D1" s="3"/>
      <c r="E1" s="3"/>
      <c r="F1" s="3"/>
      <c r="G1" s="1" t="s">
        <v>0</v>
      </c>
      <c r="H1" s="1"/>
      <c r="I1" s="4"/>
      <c r="J1" s="5"/>
    </row>
    <row r="2" spans="1:11" ht="18" x14ac:dyDescent="0.25">
      <c r="A2" s="6"/>
      <c r="C2" s="3"/>
      <c r="D2" s="7"/>
      <c r="E2" s="7"/>
      <c r="F2" s="7"/>
      <c r="G2" s="8" t="s">
        <v>45</v>
      </c>
      <c r="H2" s="8"/>
      <c r="I2" s="7"/>
      <c r="J2" s="9"/>
    </row>
    <row r="3" spans="1:11" ht="18" x14ac:dyDescent="0.25">
      <c r="A3" s="6"/>
      <c r="C3" s="3"/>
      <c r="D3" s="3"/>
      <c r="E3" s="3"/>
      <c r="F3" s="3"/>
      <c r="G3" s="6" t="s">
        <v>43</v>
      </c>
      <c r="H3" s="8"/>
      <c r="I3" s="4"/>
      <c r="J3" s="5"/>
    </row>
    <row r="4" spans="1:11" ht="18" x14ac:dyDescent="0.25">
      <c r="A4" s="6"/>
      <c r="C4" s="3"/>
      <c r="D4" s="3"/>
      <c r="E4" s="3"/>
      <c r="F4" s="3"/>
      <c r="G4" s="8" t="s">
        <v>44</v>
      </c>
      <c r="H4" s="8"/>
      <c r="I4" s="10"/>
      <c r="J4" s="11"/>
    </row>
    <row r="5" spans="1:11" ht="18" x14ac:dyDescent="0.25">
      <c r="A5" s="6"/>
      <c r="C5" s="3"/>
      <c r="D5" s="3"/>
      <c r="E5" s="3"/>
      <c r="F5" s="3"/>
      <c r="G5" s="8" t="s">
        <v>41</v>
      </c>
      <c r="H5" s="8"/>
      <c r="J5" s="12"/>
    </row>
    <row r="6" spans="1:11" ht="18" x14ac:dyDescent="0.25">
      <c r="A6" s="6"/>
      <c r="C6" s="3"/>
      <c r="D6" s="3"/>
      <c r="E6" s="3"/>
      <c r="F6" s="3"/>
      <c r="G6" s="8"/>
      <c r="H6" s="8"/>
      <c r="J6" s="12"/>
    </row>
    <row r="7" spans="1:11" ht="15.75" x14ac:dyDescent="0.25">
      <c r="A7" s="172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"/>
    </row>
    <row r="8" spans="1:11" ht="15.75" x14ac:dyDescent="0.25">
      <c r="A8" s="172" t="s">
        <v>79</v>
      </c>
      <c r="B8" s="172"/>
      <c r="C8" s="172"/>
      <c r="D8" s="172"/>
      <c r="E8" s="172"/>
      <c r="F8" s="172"/>
      <c r="G8" s="172"/>
      <c r="H8" s="172"/>
      <c r="I8" s="172"/>
      <c r="J8" s="172"/>
      <c r="K8" s="1"/>
    </row>
    <row r="9" spans="1:11" ht="15.75" x14ac:dyDescent="0.25">
      <c r="A9" s="172" t="s">
        <v>103</v>
      </c>
      <c r="B9" s="172"/>
      <c r="C9" s="172"/>
      <c r="D9" s="172"/>
      <c r="E9" s="172"/>
      <c r="F9" s="172"/>
      <c r="G9" s="172"/>
      <c r="H9" s="172"/>
      <c r="I9" s="172"/>
      <c r="J9" s="172"/>
      <c r="K9" s="1"/>
    </row>
    <row r="10" spans="1:11" x14ac:dyDescent="0.2">
      <c r="A10" s="173" t="s">
        <v>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" x14ac:dyDescent="0.25">
      <c r="A12" s="15"/>
      <c r="B12" s="15"/>
      <c r="C12" s="15"/>
      <c r="D12" s="15"/>
      <c r="E12" s="15"/>
      <c r="F12" s="16"/>
      <c r="G12" s="183" t="s">
        <v>58</v>
      </c>
      <c r="H12" s="184"/>
      <c r="I12" s="185"/>
      <c r="J12" s="73">
        <f>Дані!L6</f>
        <v>65</v>
      </c>
    </row>
    <row r="13" spans="1:11" x14ac:dyDescent="0.2">
      <c r="F13" s="17"/>
      <c r="G13" s="186" t="s">
        <v>59</v>
      </c>
      <c r="H13" s="186"/>
      <c r="I13" s="187"/>
      <c r="J13" s="74">
        <v>108</v>
      </c>
    </row>
    <row r="14" spans="1:11" ht="30" x14ac:dyDescent="0.2">
      <c r="A14" s="81" t="s">
        <v>65</v>
      </c>
      <c r="B14" s="179" t="s">
        <v>3</v>
      </c>
      <c r="C14" s="180"/>
      <c r="D14" s="180"/>
      <c r="E14" s="180"/>
      <c r="F14" s="181"/>
      <c r="G14" s="81" t="s">
        <v>4</v>
      </c>
      <c r="H14" s="82" t="s">
        <v>46</v>
      </c>
      <c r="I14" s="82" t="s">
        <v>91</v>
      </c>
      <c r="J14" s="83" t="s">
        <v>6</v>
      </c>
    </row>
    <row r="15" spans="1:11" ht="15.75" x14ac:dyDescent="0.25">
      <c r="A15" s="19"/>
      <c r="B15" s="182" t="s">
        <v>7</v>
      </c>
      <c r="C15" s="182"/>
      <c r="D15" s="182"/>
      <c r="E15" s="182"/>
      <c r="F15" s="182"/>
      <c r="G15" s="20"/>
      <c r="H15" s="87">
        <f>H16+H20</f>
        <v>100</v>
      </c>
      <c r="I15" s="88"/>
      <c r="J15" s="89"/>
    </row>
    <row r="16" spans="1:11" ht="15" x14ac:dyDescent="0.2">
      <c r="A16" s="21" t="s">
        <v>8</v>
      </c>
      <c r="B16" s="154" t="s">
        <v>106</v>
      </c>
      <c r="C16" s="151"/>
      <c r="D16" s="151"/>
      <c r="E16" s="151"/>
      <c r="F16" s="151"/>
      <c r="G16" s="22"/>
      <c r="H16" s="134">
        <f>SUM(H17:H19)</f>
        <v>100</v>
      </c>
      <c r="I16" s="91"/>
      <c r="J16" s="89"/>
    </row>
    <row r="17" spans="1:11" ht="15" x14ac:dyDescent="0.2">
      <c r="A17" s="23" t="s">
        <v>10</v>
      </c>
      <c r="B17" s="151" t="s">
        <v>71</v>
      </c>
      <c r="C17" s="151"/>
      <c r="D17" s="151"/>
      <c r="E17" s="151"/>
      <c r="F17" s="151"/>
      <c r="G17" s="24"/>
      <c r="H17" s="110">
        <v>80</v>
      </c>
      <c r="I17" s="92"/>
      <c r="J17" s="89"/>
    </row>
    <row r="18" spans="1:11" ht="15" x14ac:dyDescent="0.2">
      <c r="A18" s="25" t="s">
        <v>11</v>
      </c>
      <c r="B18" s="152" t="s">
        <v>70</v>
      </c>
      <c r="C18" s="153"/>
      <c r="D18" s="153"/>
      <c r="E18" s="153"/>
      <c r="F18" s="154"/>
      <c r="G18" s="26"/>
      <c r="H18" s="134">
        <v>10</v>
      </c>
      <c r="I18" s="132"/>
      <c r="J18" s="89"/>
    </row>
    <row r="19" spans="1:11" ht="15" x14ac:dyDescent="0.2">
      <c r="A19" s="27" t="s">
        <v>12</v>
      </c>
      <c r="B19" s="152" t="s">
        <v>69</v>
      </c>
      <c r="C19" s="153"/>
      <c r="D19" s="153"/>
      <c r="E19" s="153"/>
      <c r="F19" s="154"/>
      <c r="G19" s="28"/>
      <c r="H19" s="105">
        <v>10</v>
      </c>
      <c r="I19" s="132"/>
      <c r="J19" s="89"/>
    </row>
    <row r="20" spans="1:11" ht="15" x14ac:dyDescent="0.2">
      <c r="A20" s="29" t="s">
        <v>13</v>
      </c>
      <c r="B20" s="174" t="s">
        <v>88</v>
      </c>
      <c r="C20" s="175"/>
      <c r="D20" s="175"/>
      <c r="E20" s="175"/>
      <c r="F20" s="30"/>
      <c r="G20" s="28"/>
      <c r="H20" s="134">
        <f>H21+H22+H23</f>
        <v>0</v>
      </c>
      <c r="I20" s="94"/>
      <c r="J20" s="89"/>
    </row>
    <row r="21" spans="1:11" ht="15.75" x14ac:dyDescent="0.2">
      <c r="A21" s="31" t="s">
        <v>15</v>
      </c>
      <c r="B21" s="176" t="s">
        <v>68</v>
      </c>
      <c r="C21" s="177"/>
      <c r="D21" s="177"/>
      <c r="E21" s="177"/>
      <c r="F21" s="178"/>
      <c r="G21" s="32"/>
      <c r="H21" s="95">
        <v>0</v>
      </c>
      <c r="I21" s="88"/>
      <c r="J21" s="89"/>
    </row>
    <row r="22" spans="1:11" ht="15.75" customHeight="1" x14ac:dyDescent="0.2">
      <c r="A22" s="33" t="s">
        <v>16</v>
      </c>
      <c r="B22" s="152" t="s">
        <v>70</v>
      </c>
      <c r="C22" s="153"/>
      <c r="D22" s="153"/>
      <c r="E22" s="153"/>
      <c r="F22" s="154"/>
      <c r="G22" s="86"/>
      <c r="H22" s="134">
        <f>H21*G22</f>
        <v>0</v>
      </c>
      <c r="I22" s="88"/>
      <c r="J22" s="89"/>
    </row>
    <row r="23" spans="1:11" ht="15.75" customHeight="1" x14ac:dyDescent="0.2">
      <c r="A23" s="33" t="s">
        <v>17</v>
      </c>
      <c r="B23" s="152" t="s">
        <v>69</v>
      </c>
      <c r="C23" s="153"/>
      <c r="D23" s="153"/>
      <c r="E23" s="153"/>
      <c r="F23" s="154"/>
      <c r="G23" s="86"/>
      <c r="H23" s="134">
        <f>H21*G23</f>
        <v>0</v>
      </c>
      <c r="I23" s="88"/>
      <c r="J23" s="89"/>
    </row>
    <row r="24" spans="1:11" ht="15" x14ac:dyDescent="0.2">
      <c r="A24" s="21"/>
      <c r="B24" s="170" t="s">
        <v>66</v>
      </c>
      <c r="C24" s="170"/>
      <c r="D24" s="170"/>
      <c r="E24" s="171"/>
      <c r="F24" s="171"/>
      <c r="G24" s="28">
        <v>0.22</v>
      </c>
      <c r="H24" s="134">
        <f>H15*G24</f>
        <v>22</v>
      </c>
      <c r="I24" s="132"/>
      <c r="J24" s="89"/>
    </row>
    <row r="25" spans="1:11" ht="15" x14ac:dyDescent="0.2">
      <c r="A25" s="33"/>
      <c r="B25" s="135" t="s">
        <v>67</v>
      </c>
      <c r="C25" s="84"/>
      <c r="D25" s="84"/>
      <c r="E25" s="84"/>
      <c r="F25" s="84"/>
      <c r="G25" s="28">
        <v>0.05</v>
      </c>
      <c r="H25" s="134">
        <f>H15*G25</f>
        <v>5</v>
      </c>
      <c r="I25" s="132"/>
      <c r="J25" s="89"/>
    </row>
    <row r="26" spans="1:11" ht="15.75" x14ac:dyDescent="0.25">
      <c r="A26" s="19"/>
      <c r="B26" s="34" t="s">
        <v>18</v>
      </c>
      <c r="C26" s="35"/>
      <c r="D26" s="35"/>
      <c r="E26" s="35"/>
      <c r="F26" s="35"/>
      <c r="G26" s="32"/>
      <c r="H26" s="96">
        <f>H15+H24+H25</f>
        <v>127</v>
      </c>
      <c r="I26" s="88"/>
      <c r="J26" s="97"/>
      <c r="K26" s="36"/>
    </row>
    <row r="27" spans="1:11" ht="15" hidden="1" x14ac:dyDescent="0.2">
      <c r="A27" s="33" t="s">
        <v>19</v>
      </c>
      <c r="B27" s="152" t="s">
        <v>20</v>
      </c>
      <c r="C27" s="153"/>
      <c r="D27" s="153"/>
      <c r="E27" s="153"/>
      <c r="F27" s="154"/>
      <c r="G27" s="28"/>
      <c r="H27" s="134"/>
      <c r="I27" s="98"/>
      <c r="J27" s="99"/>
    </row>
    <row r="28" spans="1:11" ht="15" x14ac:dyDescent="0.2">
      <c r="A28" s="37" t="s">
        <v>21</v>
      </c>
      <c r="B28" s="152" t="s">
        <v>22</v>
      </c>
      <c r="C28" s="153"/>
      <c r="D28" s="153"/>
      <c r="E28" s="153"/>
      <c r="F28" s="154"/>
      <c r="G28" s="133"/>
      <c r="H28" s="134"/>
      <c r="I28" s="132">
        <f>I29+I33</f>
        <v>1199.1600000000001</v>
      </c>
      <c r="J28" s="132">
        <f>J29+J33</f>
        <v>97.5</v>
      </c>
    </row>
    <row r="29" spans="1:11" ht="15" x14ac:dyDescent="0.2">
      <c r="A29" s="155" t="s">
        <v>23</v>
      </c>
      <c r="B29" s="158" t="s">
        <v>73</v>
      </c>
      <c r="C29" s="159"/>
      <c r="D29" s="159"/>
      <c r="E29" s="159"/>
      <c r="F29" s="160"/>
      <c r="G29" s="168"/>
      <c r="H29" s="169"/>
      <c r="I29" s="161">
        <f>ROUND(E31*B30,2)</f>
        <v>1170</v>
      </c>
      <c r="J29" s="161">
        <f>ROUND(C30/100*B30,2)</f>
        <v>0</v>
      </c>
    </row>
    <row r="30" spans="1:11" ht="15" x14ac:dyDescent="0.2">
      <c r="A30" s="156"/>
      <c r="B30" s="68">
        <f>Дані!L6</f>
        <v>65</v>
      </c>
      <c r="C30" s="69"/>
      <c r="D30" s="70">
        <f>C30/100</f>
        <v>0</v>
      </c>
      <c r="E30" s="38" t="s">
        <v>85</v>
      </c>
      <c r="F30" s="39"/>
      <c r="G30" s="168"/>
      <c r="H30" s="169"/>
      <c r="I30" s="161"/>
      <c r="J30" s="161"/>
    </row>
    <row r="31" spans="1:11" ht="15" x14ac:dyDescent="0.2">
      <c r="A31" s="157"/>
      <c r="B31" s="40" t="s">
        <v>24</v>
      </c>
      <c r="C31" s="75" t="s">
        <v>25</v>
      </c>
      <c r="D31" s="133" t="s">
        <v>26</v>
      </c>
      <c r="E31" s="76">
        <v>18</v>
      </c>
      <c r="F31" s="39"/>
      <c r="G31" s="41"/>
      <c r="H31" s="95"/>
      <c r="I31" s="100"/>
      <c r="J31" s="100"/>
    </row>
    <row r="32" spans="1:11" ht="15" x14ac:dyDescent="0.2">
      <c r="A32" s="21" t="s">
        <v>27</v>
      </c>
      <c r="B32" s="162" t="s">
        <v>28</v>
      </c>
      <c r="C32" s="163"/>
      <c r="D32" s="163"/>
      <c r="E32" s="163"/>
      <c r="F32" s="163"/>
      <c r="G32" s="133"/>
      <c r="H32" s="134"/>
      <c r="I32" s="100"/>
      <c r="J32" s="100"/>
    </row>
    <row r="33" spans="1:11" ht="15" x14ac:dyDescent="0.2">
      <c r="A33" s="21"/>
      <c r="B33" s="71">
        <v>108</v>
      </c>
      <c r="C33" s="72">
        <v>1.5</v>
      </c>
      <c r="D33" s="71">
        <f>C33*100</f>
        <v>150</v>
      </c>
      <c r="E33" s="114" t="s">
        <v>105</v>
      </c>
      <c r="F33" s="131"/>
      <c r="G33" s="133"/>
      <c r="H33" s="134"/>
      <c r="I33" s="132">
        <f>ROUND(E34*B33,2)</f>
        <v>29.16</v>
      </c>
      <c r="J33" s="132">
        <f>ROUND(D33/100*B30,2)</f>
        <v>97.5</v>
      </c>
    </row>
    <row r="34" spans="1:11" ht="15" x14ac:dyDescent="0.2">
      <c r="A34" s="43"/>
      <c r="B34" s="44" t="s">
        <v>24</v>
      </c>
      <c r="C34" s="44" t="s">
        <v>104</v>
      </c>
      <c r="D34" s="44" t="s">
        <v>25</v>
      </c>
      <c r="E34" s="116">
        <f>E31*0.015</f>
        <v>0.27</v>
      </c>
      <c r="F34" s="131"/>
      <c r="G34" s="45"/>
      <c r="H34" s="101"/>
      <c r="I34" s="102"/>
      <c r="J34" s="103"/>
    </row>
    <row r="35" spans="1:11" ht="15.75" x14ac:dyDescent="0.25">
      <c r="A35" s="136">
        <v>5</v>
      </c>
      <c r="B35" s="149" t="s">
        <v>29</v>
      </c>
      <c r="C35" s="150"/>
      <c r="D35" s="150"/>
      <c r="E35" s="150"/>
      <c r="F35" s="164"/>
      <c r="G35" s="20"/>
      <c r="H35" s="96">
        <f>H15+H26</f>
        <v>227</v>
      </c>
      <c r="I35" s="88">
        <f>I27+I28</f>
        <v>1199.1600000000001</v>
      </c>
      <c r="J35" s="88">
        <f>J27+J28</f>
        <v>97.5</v>
      </c>
    </row>
    <row r="36" spans="1:11" ht="15.75" x14ac:dyDescent="0.25">
      <c r="A36" s="48" t="s">
        <v>30</v>
      </c>
      <c r="B36" s="165" t="s">
        <v>31</v>
      </c>
      <c r="C36" s="166"/>
      <c r="D36" s="166"/>
      <c r="E36" s="166"/>
      <c r="F36" s="167"/>
      <c r="G36" s="26"/>
      <c r="H36" s="87">
        <f>SUM(H37:H40)</f>
        <v>390.82</v>
      </c>
      <c r="I36" s="104"/>
      <c r="J36" s="97"/>
      <c r="K36" s="36"/>
    </row>
    <row r="37" spans="1:11" ht="15" x14ac:dyDescent="0.2">
      <c r="A37" s="49" t="s">
        <v>32</v>
      </c>
      <c r="B37" s="50" t="s">
        <v>33</v>
      </c>
      <c r="C37" s="51"/>
      <c r="D37" s="51"/>
      <c r="E37" s="51"/>
      <c r="F37" s="51"/>
      <c r="G37" s="26">
        <f>Дані!L11</f>
        <v>0.25</v>
      </c>
      <c r="H37" s="105">
        <f>H35*G37</f>
        <v>56.75</v>
      </c>
      <c r="I37" s="92"/>
      <c r="J37" s="89"/>
    </row>
    <row r="38" spans="1:11" ht="15" x14ac:dyDescent="0.2">
      <c r="A38" s="49" t="s">
        <v>34</v>
      </c>
      <c r="B38" s="50" t="s">
        <v>81</v>
      </c>
      <c r="C38" s="51"/>
      <c r="D38" s="51"/>
      <c r="E38" s="51"/>
      <c r="F38" s="51"/>
      <c r="G38" s="26"/>
      <c r="H38" s="105">
        <v>250</v>
      </c>
      <c r="I38" s="92"/>
      <c r="J38" s="89"/>
    </row>
    <row r="39" spans="1:11" ht="15" x14ac:dyDescent="0.2">
      <c r="A39" s="49" t="s">
        <v>74</v>
      </c>
      <c r="B39" s="50" t="s">
        <v>83</v>
      </c>
      <c r="C39" s="51"/>
      <c r="D39" s="51"/>
      <c r="E39" s="51"/>
      <c r="F39" s="51"/>
      <c r="G39" s="26"/>
      <c r="H39" s="105">
        <v>41.67</v>
      </c>
      <c r="I39" s="92"/>
      <c r="J39" s="89"/>
    </row>
    <row r="40" spans="1:11" ht="15" x14ac:dyDescent="0.2">
      <c r="A40" s="49" t="s">
        <v>82</v>
      </c>
      <c r="B40" s="50" t="s">
        <v>35</v>
      </c>
      <c r="C40" s="51"/>
      <c r="D40" s="51"/>
      <c r="E40" s="51"/>
      <c r="F40" s="51"/>
      <c r="G40" s="26"/>
      <c r="H40" s="105">
        <v>42.4</v>
      </c>
      <c r="I40" s="92"/>
      <c r="J40" s="89"/>
    </row>
    <row r="41" spans="1:11" ht="15.75" x14ac:dyDescent="0.25">
      <c r="A41" s="136">
        <v>7</v>
      </c>
      <c r="B41" s="111" t="s">
        <v>80</v>
      </c>
      <c r="C41" s="112"/>
      <c r="D41" s="112"/>
      <c r="E41" s="112"/>
      <c r="F41" s="112"/>
      <c r="G41" s="113"/>
      <c r="H41" s="105">
        <f>G41*7.2</f>
        <v>0</v>
      </c>
      <c r="I41" s="92"/>
      <c r="J41" s="89"/>
    </row>
    <row r="42" spans="1:11" ht="15.75" x14ac:dyDescent="0.25">
      <c r="A42" s="136">
        <v>8</v>
      </c>
      <c r="B42" s="149" t="s">
        <v>64</v>
      </c>
      <c r="C42" s="150"/>
      <c r="D42" s="150"/>
      <c r="E42" s="150"/>
      <c r="F42" s="150"/>
      <c r="G42" s="20"/>
      <c r="H42" s="96">
        <f>H36+H35+H41</f>
        <v>617.81999999999994</v>
      </c>
      <c r="I42" s="88">
        <f>I35</f>
        <v>1199.1600000000001</v>
      </c>
      <c r="J42" s="88">
        <f>J35</f>
        <v>97.5</v>
      </c>
    </row>
    <row r="43" spans="1:11" ht="15" x14ac:dyDescent="0.2">
      <c r="A43" s="21">
        <v>9</v>
      </c>
      <c r="B43" s="151" t="s">
        <v>36</v>
      </c>
      <c r="C43" s="151"/>
      <c r="D43" s="151"/>
      <c r="E43" s="151"/>
      <c r="F43" s="151"/>
      <c r="G43" s="28">
        <v>0.05</v>
      </c>
      <c r="H43" s="134">
        <f>H42*12%</f>
        <v>74.13839999999999</v>
      </c>
      <c r="I43" s="132">
        <v>0</v>
      </c>
      <c r="J43" s="132">
        <f>J42*12%</f>
        <v>11.7</v>
      </c>
    </row>
    <row r="44" spans="1:11" ht="15.75" x14ac:dyDescent="0.25">
      <c r="A44" s="136">
        <v>10</v>
      </c>
      <c r="B44" s="193" t="s">
        <v>37</v>
      </c>
      <c r="C44" s="194"/>
      <c r="D44" s="194"/>
      <c r="E44" s="194"/>
      <c r="F44" s="194"/>
      <c r="G44" s="20"/>
      <c r="H44" s="106">
        <f>H43+H42</f>
        <v>691.95839999999998</v>
      </c>
      <c r="I44" s="107">
        <f>I43+I42</f>
        <v>1199.1600000000001</v>
      </c>
      <c r="J44" s="107">
        <f>J43+J42</f>
        <v>109.2</v>
      </c>
    </row>
    <row r="45" spans="1:11" ht="15" x14ac:dyDescent="0.2">
      <c r="A45" s="52">
        <v>11</v>
      </c>
      <c r="B45" s="195" t="s">
        <v>38</v>
      </c>
      <c r="C45" s="195"/>
      <c r="D45" s="195"/>
      <c r="E45" s="195"/>
      <c r="F45" s="195"/>
      <c r="G45" s="53">
        <v>0</v>
      </c>
      <c r="H45" s="108">
        <f>H44*G45</f>
        <v>0</v>
      </c>
      <c r="I45" s="109">
        <f>I44*G45</f>
        <v>0</v>
      </c>
      <c r="J45" s="109">
        <f>J44*G45</f>
        <v>0</v>
      </c>
      <c r="K45" s="54"/>
    </row>
    <row r="46" spans="1:11" ht="15.75" x14ac:dyDescent="0.2">
      <c r="A46" s="192">
        <v>12</v>
      </c>
      <c r="B46" s="188" t="s">
        <v>86</v>
      </c>
      <c r="C46" s="188"/>
      <c r="D46" s="188"/>
      <c r="E46" s="188"/>
      <c r="F46" s="189"/>
      <c r="G46" s="20"/>
      <c r="H46" s="106">
        <f>H45+H44</f>
        <v>691.95839999999998</v>
      </c>
      <c r="I46" s="88">
        <f>I45+I44</f>
        <v>1199.1600000000001</v>
      </c>
      <c r="J46" s="88">
        <f>J45+J44</f>
        <v>109.2</v>
      </c>
    </row>
    <row r="47" spans="1:11" ht="15.75" x14ac:dyDescent="0.25">
      <c r="A47" s="192"/>
      <c r="B47" s="190"/>
      <c r="C47" s="190"/>
      <c r="D47" s="190"/>
      <c r="E47" s="190"/>
      <c r="F47" s="191"/>
      <c r="G47" s="115"/>
      <c r="H47" s="196">
        <f>ROUND(SUM(H46:J46),0)</f>
        <v>2000</v>
      </c>
      <c r="I47" s="196"/>
      <c r="J47" s="197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2"/>
    </row>
    <row r="49" spans="1:11" ht="15" x14ac:dyDescent="0.2">
      <c r="A49" s="1"/>
      <c r="B49" s="1" t="s">
        <v>39</v>
      </c>
      <c r="C49" s="1"/>
      <c r="D49" s="1"/>
      <c r="E49" s="1"/>
      <c r="F49" s="1" t="s">
        <v>40</v>
      </c>
      <c r="G49" s="1"/>
      <c r="H49" s="1"/>
      <c r="I49" s="1" t="s">
        <v>42</v>
      </c>
      <c r="J49" s="12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2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3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5">
    <mergeCell ref="G13:I13"/>
    <mergeCell ref="A7:J7"/>
    <mergeCell ref="A8:J8"/>
    <mergeCell ref="A9:J9"/>
    <mergeCell ref="A10:J10"/>
    <mergeCell ref="G12:I12"/>
    <mergeCell ref="B27:F27"/>
    <mergeCell ref="B14:F14"/>
    <mergeCell ref="B15:F15"/>
    <mergeCell ref="B16:F16"/>
    <mergeCell ref="B17:F17"/>
    <mergeCell ref="B18:F18"/>
    <mergeCell ref="B19:F19"/>
    <mergeCell ref="B20:E20"/>
    <mergeCell ref="B21:F21"/>
    <mergeCell ref="B22:F22"/>
    <mergeCell ref="B23:F23"/>
    <mergeCell ref="B24:F24"/>
    <mergeCell ref="B43:F43"/>
    <mergeCell ref="B28:F28"/>
    <mergeCell ref="A29:A31"/>
    <mergeCell ref="B29:F29"/>
    <mergeCell ref="G29:G30"/>
    <mergeCell ref="J29:J30"/>
    <mergeCell ref="B32:F32"/>
    <mergeCell ref="B35:F35"/>
    <mergeCell ref="B36:F36"/>
    <mergeCell ref="B42:F42"/>
    <mergeCell ref="H29:H30"/>
    <mergeCell ref="I29:I30"/>
    <mergeCell ref="B44:F44"/>
    <mergeCell ref="B45:F45"/>
    <mergeCell ref="A46:A47"/>
    <mergeCell ref="B46:F47"/>
    <mergeCell ref="H47:J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Дані</vt:lpstr>
      <vt:lpstr>АН 8194 КІ</vt:lpstr>
      <vt:lpstr>АН9552КР (відкачка)</vt:lpstr>
      <vt:lpstr>АН9552КР (промивка)</vt:lpstr>
      <vt:lpstr>МТЗ-82.1</vt:lpstr>
      <vt:lpstr>МТЗ-80.1</vt:lpstr>
      <vt:lpstr>ДТ-130</vt:lpstr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2025-12-05T12:55:58Z</cp:lastPrinted>
  <dcterms:created xsi:type="dcterms:W3CDTF">2025-09-24T07:10:03Z</dcterms:created>
  <dcterms:modified xsi:type="dcterms:W3CDTF">2025-12-12T13:46:25Z</dcterms:modified>
</cp:coreProperties>
</file>